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Denne_projektmappe"/>
  <mc:AlternateContent xmlns:mc="http://schemas.openxmlformats.org/markup-compatibility/2006">
    <mc:Choice Requires="x15">
      <x15ac:absPath xmlns:x15ac="http://schemas.microsoft.com/office/spreadsheetml/2010/11/ac" url="\\projekt\icoel\2026\1150_GUDP_HMLA_ORIGIN_DEMO\02_Leverancer\"/>
    </mc:Choice>
  </mc:AlternateContent>
  <xr:revisionPtr revIDLastSave="0" documentId="13_ncr:1_{86AFA765-B418-4510-9F34-A4E5F1096B1B}" xr6:coauthVersionLast="47" xr6:coauthVersionMax="47" xr10:uidLastSave="{00000000-0000-0000-0000-000000000000}"/>
  <workbookProtection workbookAlgorithmName="SHA-512" workbookHashValue="MYecx09gJHp7BgVqIrKpzTMtG7rqc0ObhYDOMuI7QoyEFa6FH0Fjuy+4jG7MQxS4dl4BRTfp8jB+ypDxRGpxdA==" workbookSaltValue="yWv/3j4L+8pBcAE+FoayLg==" workbookSpinCount="100000" lockStructure="1"/>
  <bookViews>
    <workbookView xWindow="-120" yWindow="-120" windowWidth="29040" windowHeight="15720" tabRatio="765" firstSheet="1" activeTab="2" xr2:uid="{00000000-000D-0000-FFFF-FFFF00000000}"/>
  </bookViews>
  <sheets>
    <sheet name="Beregning" sheetId="1" state="hidden" r:id="rId1"/>
    <sheet name="Digitalt management værktøj" sheetId="2" r:id="rId2"/>
    <sheet name="Brugermanual" sheetId="3" r:id="rId3"/>
  </sheets>
  <definedNames>
    <definedName name="_xlnm.Print_Area" localSheetId="2">Brugermanual!$A$3:$B$56</definedName>
    <definedName name="_xlnm.Print_Area" localSheetId="1">'Digitalt management værktøj'!$A$1:$R$40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2" l="1"/>
  <c r="K14" i="2"/>
  <c r="K8" i="2"/>
  <c r="K7" i="2"/>
  <c r="K6" i="2"/>
  <c r="D186" i="1"/>
  <c r="D179" i="1"/>
  <c r="C179" i="1"/>
  <c r="B179" i="1"/>
  <c r="E169" i="1"/>
  <c r="F169" i="1" s="1"/>
  <c r="H6" i="1" s="1"/>
  <c r="C169" i="1"/>
  <c r="E168" i="1"/>
  <c r="F168" i="1" s="1"/>
  <c r="C168" i="1"/>
  <c r="E165" i="1"/>
  <c r="C165" i="1"/>
  <c r="E164" i="1"/>
  <c r="F164" i="1" s="1"/>
  <c r="C164" i="1"/>
  <c r="D135" i="1"/>
  <c r="D136" i="1" s="1"/>
  <c r="E134" i="1"/>
  <c r="E135" i="1" s="1"/>
  <c r="E136" i="1" s="1"/>
  <c r="F136" i="1" s="1"/>
  <c r="G10" i="1" s="1"/>
  <c r="K10" i="1" s="1"/>
  <c r="D134" i="1"/>
  <c r="D102" i="1"/>
  <c r="C102" i="1"/>
  <c r="D101" i="1"/>
  <c r="C101" i="1"/>
  <c r="C104" i="1" s="1"/>
  <c r="D100" i="1"/>
  <c r="C100" i="1"/>
  <c r="H97" i="1"/>
  <c r="I97" i="1" s="1"/>
  <c r="H96" i="1"/>
  <c r="I96" i="1" s="1"/>
  <c r="H95" i="1"/>
  <c r="E85" i="1"/>
  <c r="C43" i="1"/>
  <c r="B43" i="1"/>
  <c r="C42" i="1"/>
  <c r="E33" i="1" s="1"/>
  <c r="B42" i="1"/>
  <c r="C61" i="1" s="1"/>
  <c r="B40" i="1"/>
  <c r="H33" i="1"/>
  <c r="E26" i="1"/>
  <c r="D25" i="1"/>
  <c r="C25" i="1"/>
  <c r="E25" i="1" s="1"/>
  <c r="D24" i="1"/>
  <c r="D23" i="1" s="1"/>
  <c r="C24" i="1"/>
  <c r="E24" i="1" s="1"/>
  <c r="E23" i="1"/>
  <c r="C23" i="1"/>
  <c r="E10" i="1"/>
  <c r="E8" i="1"/>
  <c r="E6" i="1"/>
  <c r="B35" i="1" l="1"/>
  <c r="E179" i="1"/>
  <c r="G179" i="1" s="1"/>
  <c r="I179" i="1" s="1"/>
  <c r="E61" i="1"/>
  <c r="D104" i="1"/>
  <c r="E104" i="1" s="1"/>
  <c r="C105" i="1"/>
  <c r="F165" i="1"/>
  <c r="H8" i="1" s="1"/>
  <c r="D105" i="1"/>
  <c r="E105" i="1" s="1"/>
  <c r="E100" i="1"/>
  <c r="F170" i="1"/>
  <c r="I6" i="1"/>
  <c r="M10" i="1"/>
  <c r="M17" i="2" s="1"/>
  <c r="E86" i="1"/>
  <c r="K12" i="1" s="1"/>
  <c r="M12" i="1" s="1"/>
  <c r="M18" i="2" s="1"/>
  <c r="F8" i="1"/>
  <c r="K8" i="1" s="1"/>
  <c r="I8" i="1"/>
  <c r="F166" i="1"/>
  <c r="E101" i="1"/>
  <c r="B33" i="1"/>
  <c r="B37" i="1" s="1"/>
  <c r="E35" i="1" s="1"/>
  <c r="G42" i="1" s="1"/>
  <c r="G40" i="1" s="1"/>
  <c r="J33" i="1" s="1"/>
  <c r="F6" i="1" s="1"/>
  <c r="E102" i="1"/>
  <c r="K6" i="1" l="1"/>
  <c r="M6" i="1" s="1"/>
  <c r="M6" i="2" s="1"/>
  <c r="M14" i="2" s="1"/>
  <c r="G39" i="1"/>
  <c r="M16" i="2"/>
  <c r="M8" i="2"/>
  <c r="M8" i="1"/>
  <c r="M7" i="2" s="1"/>
  <c r="D180" i="1"/>
  <c r="E180" i="1" s="1"/>
  <c r="M19" i="2" l="1"/>
  <c r="M20" i="2" s="1"/>
  <c r="M23" i="2"/>
  <c r="G180" i="1"/>
  <c r="I180" i="1" s="1"/>
  <c r="I181" i="1" l="1"/>
  <c r="M21" i="2"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<sst xmlns="http://schemas.openxmlformats.org/spreadsheetml/2006/main" count="292" uniqueCount="234">
  <si>
    <t>Ændringen i foderblandingen</t>
  </si>
  <si>
    <t>Summeret</t>
  </si>
  <si>
    <t>effekt på:</t>
  </si>
  <si>
    <t xml:space="preserve">kommer fra: </t>
  </si>
  <si>
    <t>Energi</t>
  </si>
  <si>
    <t>Lysin</t>
  </si>
  <si>
    <t>Ford.råprot</t>
  </si>
  <si>
    <t>sol</t>
  </si>
  <si>
    <t>raps</t>
  </si>
  <si>
    <t>effekt</t>
  </si>
  <si>
    <t>gennemslag</t>
  </si>
  <si>
    <t>nettoeeffekt</t>
  </si>
  <si>
    <t>Foderforbrug, Fesv/kg tilv</t>
  </si>
  <si>
    <t>Tilvækst, g/dag</t>
  </si>
  <si>
    <t>Kødprocent , pct.</t>
  </si>
  <si>
    <t>Godkendelsespct.</t>
  </si>
  <si>
    <t>værdi godkendte kg</t>
  </si>
  <si>
    <t>kr/kg slgt</t>
  </si>
  <si>
    <t>OBS - gennemslag</t>
  </si>
  <si>
    <t>er et gæt, og skal muligvis justeres</t>
  </si>
  <si>
    <t>Effekt af mere energi i blandingen:</t>
  </si>
  <si>
    <t>forsøgsdata fra konventionelt omsat til økologi</t>
  </si>
  <si>
    <t>,+1 Fesv  (fra 102-110) = +6 g tilvækst &amp; +0,01 Fesv/kg tilv &amp; -0,01 pct. Kød</t>
  </si>
  <si>
    <t xml:space="preserve">lineær sammenhæng </t>
  </si>
  <si>
    <t xml:space="preserve">Rasmussen, D.K.: (2010): Energiindhold i foder til slagtesvin. Meddelelse nr. 865, Videncenter for Svineproduktion. </t>
  </si>
  <si>
    <t>kødprocent afregning</t>
  </si>
  <si>
    <t>DC kødprocent afregningsmaske marts 2025</t>
  </si>
  <si>
    <t>Fra</t>
  </si>
  <si>
    <t>Til</t>
  </si>
  <si>
    <t>Start</t>
  </si>
  <si>
    <t>Slut</t>
  </si>
  <si>
    <t>Hældning</t>
  </si>
  <si>
    <t>56,1 - 62,1 % kød: er hældningen 0,1. Dvs der regnes med +0,1 kr/kg ved + 1 pct.kød her…</t>
  </si>
  <si>
    <t>Effekt af Lysin indhold på foderforbrug</t>
  </si>
  <si>
    <t>nuværende foderblanding</t>
  </si>
  <si>
    <t>NY foderblanding</t>
  </si>
  <si>
    <t>potentiel g lysin pr kg tilv</t>
  </si>
  <si>
    <t>potentiel g.lysin/kg tilv</t>
  </si>
  <si>
    <t>aktuelt foderforbrug</t>
  </si>
  <si>
    <t>fremtidig foderforbrug</t>
  </si>
  <si>
    <t>reel g lysin pr kg tilvækst</t>
  </si>
  <si>
    <t>forventet reel g ford. lysin pr kg tilvækst</t>
  </si>
  <si>
    <t>korrigeret for om der er meth. nok, og samme udnyttelse af potentialet som nuværende foderblanding</t>
  </si>
  <si>
    <t>udnyttelse af potentiale</t>
  </si>
  <si>
    <t>,% bruges ved ny blanding</t>
  </si>
  <si>
    <t>Er der nok methionin i forhold til Lysin i blandingen?</t>
  </si>
  <si>
    <t>Potentiale baseret på lysinindholdet, og hvis der er methionin nok</t>
  </si>
  <si>
    <t>Potentiale baseret på niveau af methionin, som 1.begrænsende aminosyre, hvis nødvendigt</t>
  </si>
  <si>
    <t>Lysinindhold beregnet som 3,33x methioninindhold</t>
  </si>
  <si>
    <t>"relativt lysinindhold" efter methionin</t>
  </si>
  <si>
    <t>g lysin pr kg tilvækst, den liniære sammmenhæng fra meddl. 1262, med stigende mængde Lysin/FE, er sat til at stoppe nedadgående, med krav om mindst 17g ford. Lysin/kg tilv.</t>
  </si>
  <si>
    <t>Reelt lysinindhold pr Fesv</t>
  </si>
  <si>
    <t>NU bl.</t>
  </si>
  <si>
    <t>NY bl.</t>
  </si>
  <si>
    <t>KØDPROCENT - F.Lysin pr Fesv</t>
  </si>
  <si>
    <t>Kødprocent = ford.lysin/Fesv * 0,3415   +  55,376</t>
  </si>
  <si>
    <t>Lineær korrelation uddraget fra meddl. 1262. SEGES Inovation syv protein- og fem aminosyre-niveauer i foder til slagtegrise  (korrigeret -2,9 procentpoint ned på målt kødpct.)</t>
  </si>
  <si>
    <t xml:space="preserve">Ændring i lysin-indhold på +/-0,1  =  +/- 0,03415 pct.point kød </t>
  </si>
  <si>
    <t>Tilvækst  - F. lysin pr Fesv</t>
  </si>
  <si>
    <t xml:space="preserve">tilvækst afhængig af indhold af ford.lysin pr Fesv i intervallet 6,0 - 8,7 g ford. lysin - der er en pæn lineær sammehæng </t>
  </si>
  <si>
    <t>,Y = 45,705x   +  713,78</t>
  </si>
  <si>
    <t>ovenstående formel indarbejdet i beregning.  (Stigende mængde lysin + tilvækst )</t>
  </si>
  <si>
    <t>tilvækst, g</t>
  </si>
  <si>
    <t>Godkendelsesprocent ændring som følge af ændring i kødprocent</t>
  </si>
  <si>
    <t>Gns kødpct</t>
  </si>
  <si>
    <t>Forv. Under 53,6%</t>
  </si>
  <si>
    <t xml:space="preserve">procent </t>
  </si>
  <si>
    <t>kød</t>
  </si>
  <si>
    <t>Dumpere pga. kød</t>
  </si>
  <si>
    <t>nu</t>
  </si>
  <si>
    <t>Ændring i forholdet mellem ford. råprotein og ford. lysin  - brugt som mål for andel "Idealprotein"</t>
  </si>
  <si>
    <t>Bruges ikke i denne version af værktøjet</t>
  </si>
  <si>
    <t xml:space="preserve">Fodr. Råprotein mængde som belastning af grisen - stigende mængde - ringere tilvækst </t>
  </si>
  <si>
    <t xml:space="preserve">,+10g ford. råprotein  +0,2 FEsv/kg tilv </t>
  </si>
  <si>
    <t xml:space="preserve">Per Tybirk mundtligt - ingen forsøgsmæssig belæg - denne effekt er IKKE medtaget i nuværende beregninger </t>
  </si>
  <si>
    <t>data fra meddl. 1262  SEGES Inovation syv protein- og fem aminosyre-niveauer i foder til slagtegrise viser IKKE denne sammenhæng ved høj indhold af råprotein: 9,5 g ford. lysin ved 125-133-140-147 g ford. råprotein = samme foderforbrug…..</t>
  </si>
  <si>
    <t>%lysin/råp.</t>
  </si>
  <si>
    <t>index</t>
  </si>
  <si>
    <t xml:space="preserve">eksempel: </t>
  </si>
  <si>
    <t>NU bl</t>
  </si>
  <si>
    <t>ændring</t>
  </si>
  <si>
    <t>Total Råprot.</t>
  </si>
  <si>
    <t>pr Fesv</t>
  </si>
  <si>
    <t>Ford. råp.</t>
  </si>
  <si>
    <t>pr FE</t>
  </si>
  <si>
    <t>Ford. lysin</t>
  </si>
  <si>
    <t>ford Råp./Total råprot.</t>
  </si>
  <si>
    <t>Fordøjelighedsprocenten på protein</t>
  </si>
  <si>
    <t>EFOS</t>
  </si>
  <si>
    <t>F.lysin/f.Råprot.</t>
  </si>
  <si>
    <t>Procent ford. lysin af ford. Råprotein</t>
  </si>
  <si>
    <t xml:space="preserve">Positiv effekt af stigende ford. råprotein på kødprocent </t>
  </si>
  <si>
    <t xml:space="preserve">stigende kødprocent primært pga. stigende mængde ford. råprotein, når der er Lysin "nok". </t>
  </si>
  <si>
    <t>Data fra meddelelse 1262, SEGES Inovation syv protein- og fem aminosyre-niveauer i foder til slagtegrise.  Viser en bedre sammenhæng mellem mængden af fodrøjelig råprotein pr. FE og Kødprocent, end mængden af ford. lysin pr FE</t>
  </si>
  <si>
    <t>Mængden af ford. råprotein i nuværende og NY blanding, bruges til at estimerer effekten på kødprocent.</t>
  </si>
  <si>
    <t>Formlen til kurven vist, bruges til beregning af effekten</t>
  </si>
  <si>
    <t>på ændret mængde ford. råprotein på Kødprocenten</t>
  </si>
  <si>
    <t>Blanding</t>
  </si>
  <si>
    <t>Nu</t>
  </si>
  <si>
    <t>NY</t>
  </si>
  <si>
    <t>ford. råprot.</t>
  </si>
  <si>
    <t>Beregnet Kødpct</t>
  </si>
  <si>
    <t>Forventet ændring, Kødprocent</t>
  </si>
  <si>
    <t>Stigende mængde rapskage og solsikkekage  -  faldende tilvækst og forringet fodereffektivitet</t>
  </si>
  <si>
    <t>VSP. Meddl. 914, 2011 -  Rapskage og solsikkeskrå til slagtesvin</t>
  </si>
  <si>
    <t>Raps</t>
  </si>
  <si>
    <t>I ovenstående konsekvensberegning bruges nedenstående effekter, når iblandingen af raps og solsikke hver især overstiger 5 % iblandingesprocent</t>
  </si>
  <si>
    <t>dgl. Tilv</t>
  </si>
  <si>
    <t xml:space="preserve">gram tilvækst pr 10 % iblandet </t>
  </si>
  <si>
    <t>FEsv/kg tilv</t>
  </si>
  <si>
    <t xml:space="preserve">Fesv/kg tilv pr 10 % iblandet </t>
  </si>
  <si>
    <t>Sol</t>
  </si>
  <si>
    <t xml:space="preserve">dgl. </t>
  </si>
  <si>
    <t xml:space="preserve">g dgl. Tilvækst pr 10% iblandet </t>
  </si>
  <si>
    <t>Fesv/kg tilv</t>
  </si>
  <si>
    <t xml:space="preserve">Fesv/kg pr 10% iblandet </t>
  </si>
  <si>
    <t>Raps/sol</t>
  </si>
  <si>
    <t>,10/10</t>
  </si>
  <si>
    <t>Nu bl.</t>
  </si>
  <si>
    <t>Ændring</t>
  </si>
  <si>
    <t>Effekt på tilvækst
og effekt på foderforbrug</t>
  </si>
  <si>
    <t xml:space="preserve">Samlet effekt: </t>
  </si>
  <si>
    <t>g pr dag</t>
  </si>
  <si>
    <t>Effekt på Fesv/kg</t>
  </si>
  <si>
    <t>Samlet effekt :</t>
  </si>
  <si>
    <t>Fesv/kg tiv</t>
  </si>
  <si>
    <t xml:space="preserve">DB pr stiplads  ændring i ophodstid ved ændret tilvækst </t>
  </si>
  <si>
    <t>Ændring i opholdstid:</t>
  </si>
  <si>
    <t>vægt ud</t>
  </si>
  <si>
    <t>Vægt ind</t>
  </si>
  <si>
    <t>dgl. Tilv nu</t>
  </si>
  <si>
    <t>Foderdage</t>
  </si>
  <si>
    <t>ekstra til vask og udleveirng</t>
  </si>
  <si>
    <t>x pr år</t>
  </si>
  <si>
    <t>Opholdstid efter ændret tilvækst:</t>
  </si>
  <si>
    <t>ændret antal gennemgang pr år - simpel pr stiplads</t>
  </si>
  <si>
    <t>DB pr gris til brug for beregning af DB pr stiplads når udnyttelsen ændre sig</t>
  </si>
  <si>
    <t>oplyst prod. Resultat</t>
  </si>
  <si>
    <t>kr pr gris</t>
  </si>
  <si>
    <t xml:space="preserve">kode: </t>
  </si>
  <si>
    <t>ORIGIN</t>
  </si>
  <si>
    <t xml:space="preserve">Beslutningsstøtteværktøj til vurdering af alternativ foderblanding til nuværende foder </t>
  </si>
  <si>
    <t>Forudsætninger</t>
  </si>
  <si>
    <t>Resultat</t>
  </si>
  <si>
    <t>Produktivitet hentet fra nuværende CrownData / Ekontrol</t>
  </si>
  <si>
    <t>Nuværende</t>
  </si>
  <si>
    <t>Forventet</t>
  </si>
  <si>
    <t>x</t>
  </si>
  <si>
    <t>Foderforbrug</t>
  </si>
  <si>
    <t>Fesv/kg tilvækst</t>
  </si>
  <si>
    <t>ved brug af Ny blanding</t>
  </si>
  <si>
    <t>Tilvækst</t>
  </si>
  <si>
    <t>g pr. dag</t>
  </si>
  <si>
    <t>FEsv pr. kg. tilvækst</t>
  </si>
  <si>
    <t>Kødprocent</t>
  </si>
  <si>
    <t>pct.</t>
  </si>
  <si>
    <t>gram pr dag</t>
  </si>
  <si>
    <t>Vægt ved indsættelse</t>
  </si>
  <si>
    <t>kg</t>
  </si>
  <si>
    <t xml:space="preserve">pct. </t>
  </si>
  <si>
    <t>Slagtevægt</t>
  </si>
  <si>
    <t>Produktionsresultat</t>
  </si>
  <si>
    <t xml:space="preserve">kr pr. prod. Gris </t>
  </si>
  <si>
    <t>Foderdata</t>
  </si>
  <si>
    <t>Ny blanding</t>
  </si>
  <si>
    <t>Pris pr 100kg</t>
  </si>
  <si>
    <t>kr.</t>
  </si>
  <si>
    <t>Den økonomiske effekt af ændring i foderblandingen:</t>
  </si>
  <si>
    <t>% råprotein</t>
  </si>
  <si>
    <t>Fesv pr 100kg</t>
  </si>
  <si>
    <t>Fesv</t>
  </si>
  <si>
    <t xml:space="preserve">Foderomkostning </t>
  </si>
  <si>
    <t>kr. pr. kg tilvækst</t>
  </si>
  <si>
    <t>F.Råprotein</t>
  </si>
  <si>
    <t>g pr. Fesv</t>
  </si>
  <si>
    <t>F. Lysin pr Fesv</t>
  </si>
  <si>
    <t xml:space="preserve">Afregningspris </t>
  </si>
  <si>
    <t>kr./kg</t>
  </si>
  <si>
    <t>F. Meth pr Fesv</t>
  </si>
  <si>
    <t>Effekt af ændret kødpct</t>
  </si>
  <si>
    <t>Råvarer i blandingerne</t>
  </si>
  <si>
    <t>Effekt af ændret godk.pct.</t>
  </si>
  <si>
    <t xml:space="preserve"> </t>
  </si>
  <si>
    <t>Sojakage</t>
  </si>
  <si>
    <t>Samlet ændring DB pr. kg slagtekrop</t>
  </si>
  <si>
    <t>Ændret DB/gris</t>
  </si>
  <si>
    <t>kr./gris</t>
  </si>
  <si>
    <t>Ved uændret gns. slagtevægt</t>
  </si>
  <si>
    <t>Solsikke</t>
  </si>
  <si>
    <t>Ændret DB/stiplads</t>
  </si>
  <si>
    <t>kr./stiplads</t>
  </si>
  <si>
    <t>Priser</t>
  </si>
  <si>
    <t>Ændret antal foderdage pr. gris</t>
  </si>
  <si>
    <t>dage</t>
  </si>
  <si>
    <t>Pris fra afregning</t>
  </si>
  <si>
    <t>kr. pr. kg fra seneste afregninger</t>
  </si>
  <si>
    <t xml:space="preserve">OBS! Når antal foderdage er &gt; 0, skal der bruges længere tid, pga. </t>
  </si>
  <si>
    <t>Efterbetaling</t>
  </si>
  <si>
    <t xml:space="preserve">kr. pr. kg  </t>
  </si>
  <si>
    <t xml:space="preserve">lavere tilvækst . Enten flere stipladser, eller færre prod. grise, </t>
  </si>
  <si>
    <t>Resttillæg</t>
  </si>
  <si>
    <t xml:space="preserve">kr. pr. kg </t>
  </si>
  <si>
    <t xml:space="preserve">eller lavere gns. slagtevægt </t>
  </si>
  <si>
    <t xml:space="preserve">Nødvendige DATA </t>
  </si>
  <si>
    <t xml:space="preserve">OBS: tastet værdi </t>
  </si>
  <si>
    <t>Der skal fortsat anvendes egen faglig viden, fx i forhold til hvor meget protein grisene kan tåle uden risiko for diarré. Der er ikke indlagt et maksimum for fx mængden af fordøjeligt råprotein, så vurderingen skal baseres på egen viden og erfaring.</t>
  </si>
  <si>
    <t xml:space="preserve">Forholdet mellem lysin og methionin er inkluderet, så der både tages højde for den samlede mængde af aminosyrerne og forholdet mellem lysin og methionin. </t>
  </si>
  <si>
    <t xml:space="preserve">Tal for nuværende produktivitet, økonomi og foderdata indtastes i de gule felter </t>
  </si>
  <si>
    <t xml:space="preserve">Resultat vises i rammen til højre. </t>
  </si>
  <si>
    <t>Februar 2026</t>
  </si>
  <si>
    <t>Vejledning:</t>
  </si>
  <si>
    <t>Der skal tastes oplysninger i alle gule felter.</t>
  </si>
  <si>
    <t>Produktivitet</t>
  </si>
  <si>
    <t>Der tages udgangspunkt i besætningens nuværende Ekontrol, som nøgletal tages fra.</t>
  </si>
  <si>
    <t>Det bør være besætningens nuværende produktionsniveau der benyttes.</t>
  </si>
  <si>
    <t>Værdierne for nuværende og ny-blanding: Der skal tastes i alle felter. Der skal benyttes værdierne for fordøjeligt indhold pr FEsv.</t>
  </si>
  <si>
    <t>Hvis mængden af ford. methionin er under 30% af ford. Lysin, markeres feltet med anden farve. I beregningen antages det, at hvis der er forholdvis mindre ford. Methionin, 
bliver det den første begrænsende aminosyrer, og der beregnes et effektiv lysin indhold baseret på dette.</t>
  </si>
  <si>
    <t>Sojakage er alene en oplysning.</t>
  </si>
  <si>
    <t>Raps og solsikke bruges i vurderingen af blandingernes forventede produktivitet.</t>
  </si>
  <si>
    <t>Bruges til at værdisætte effekten på produktivitet.</t>
  </si>
  <si>
    <t>Der vises de nuværende og forventede værdier for foderforbrug, tilvækst og kødprocent.</t>
  </si>
  <si>
    <t>Baseret på de oplyste priser beregnes den økonomiske effekt af ændringen i foderblandingen.</t>
  </si>
  <si>
    <t>Vist som henholdsvis foderomkostning pr. kg tilvækst.</t>
  </si>
  <si>
    <t>Og samlet ændring i DB/kg slagtekrop DB/gris og DB/stiplads</t>
  </si>
  <si>
    <t>Sidst vises forventet ændring i antal foderdage pr. gris ved uændret slagtevægt. Afhængig af om resultatet er positivt eller negativt farves feltet hhv. grønt eller rødt.</t>
  </si>
  <si>
    <t>Dette bruges til at vurdere, om det er realistisk at opnå uændret slagtevægt, eller der efterfølgende skal medregnes en ændring i slagtevægt for at få ”plads til grisene”.</t>
  </si>
  <si>
    <t>Ved forventet stigende tilvækst vil det være muligt som mimimum at opnå uændret slagtevægt.</t>
  </si>
  <si>
    <t>OBS</t>
  </si>
  <si>
    <t xml:space="preserve">Der skal fortsat bruges egen viden, om fx hvor meget protein grisene kan tåle uden at få diarré. Der er ikke lagt et max-stop ind på fx mængden af ford. råprotein. Der skal egen viden/erfaring bruges. </t>
  </si>
  <si>
    <t/>
  </si>
  <si>
    <t>Udarbejdet af Ole Lund Nielsen, konsultent Danish Crown</t>
  </si>
  <si>
    <t xml:space="preserve">Grisene skal veje 20 kg ved indsættelse for, at der kan forventes brugbare data. </t>
  </si>
  <si>
    <t>Programmet kan ikke pt. håndtere fasefodring - kun enhedsblanding til slagtegrise.</t>
  </si>
  <si>
    <t xml:space="preserve">Forventede ændringer i produktivitet ved ændring af blandingen.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</si>
</sst>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_ ;[Red]\-0.00\ "/>
  </numFmts>
  <fonts count="17" x14ac:knownFonts="1">
    <font>
      <sz val="11"/>
      <color theme="1"/>
      <name val="Aptos Narrow"/>
      <family val="2"/>
      <scheme val="minor"/>
    </font>
    <font>
      <b/>
      <sz val="11"/>
      <color theme="1"/>
      <name val="Aptos Narrow"/>
      <family val="2"/>
      <scheme val="minor"/>
    </font>
    <font>
      <sz val="10"/>
      <name val="Arial"/>
      <family val="2"/>
    </font>
    <font>
      <b/>
      <sz val="16"/>
      <color theme="1"/>
      <name val="Aptos Narrow"/>
      <family val="2"/>
      <scheme val="minor"/>
    </font>
    <font>
      <sz val="12"/>
      <color theme="1"/>
      <name val="Aptos"/>
      <family val="2"/>
    </font>
    <font>
      <sz val="11"/>
      <color rgb="FF000000"/>
      <name val="Aptos Narrow"/>
      <family val="2"/>
    </font>
    <font>
      <sz val="12"/>
      <color rgb="FF000000"/>
      <name val="Aptos Narrow"/>
      <family val="2"/>
    </font>
    <font>
      <b/>
      <sz val="14"/>
      <color theme="1"/>
      <name val="Aptos"/>
      <family val="2"/>
    </font>
    <font>
      <b/>
      <i/>
      <sz val="12"/>
      <color theme="1"/>
      <name val="Aptos"/>
      <family val="2"/>
    </font>
    <font>
      <b/>
      <sz val="16"/>
      <color theme="0"/>
      <name val="Arial"/>
      <family val="2"/>
    </font>
    <font>
      <b/>
      <sz val="11"/>
      <color theme="1"/>
      <name val="Arial"/>
      <family val="2"/>
    </font>
    <font>
      <sz val="11"/>
      <color theme="1"/>
      <name val="Arial"/>
      <family val="2"/>
    </font>
    <font>
      <b/>
      <sz val="14"/>
      <color theme="1"/>
      <name val="Arial"/>
      <family val="2"/>
    </font>
    <font>
      <b/>
      <sz val="14"/>
      <color theme="0"/>
      <name val="Arial"/>
      <family val="2"/>
    </font>
    <font>
      <sz val="10"/>
      <color theme="1"/>
      <name val="Arial"/>
      <family val="2"/>
    </font>
    <font>
      <sz val="10"/>
      <color theme="1"/>
      <name val="Aptos Narrow"/>
      <family val="2"/>
      <scheme val="minor"/>
    </font>
    <font>
      <sz val="14"/>
      <color theme="1"/>
      <name val="Arial"/>
      <family val="2"/>
    </font>
  </fonts>
  <fills count="10">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F6AEB0"/>
        <bgColor indexed="64"/>
      </patternFill>
    </fill>
    <fill>
      <patternFill patternType="solid">
        <fgColor rgb="FFA5343F"/>
        <bgColor indexed="64"/>
      </patternFill>
    </fill>
    <fill>
      <patternFill patternType="solid">
        <fgColor rgb="FFE1C7AB"/>
        <bgColor indexed="64"/>
      </patternFill>
    </fill>
    <fill>
      <patternFill patternType="solid">
        <fgColor rgb="FFC00000"/>
        <bgColor indexed="64"/>
      </patternFill>
    </fill>
  </fills>
  <borders count="1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83">
    <xf numFmtId="0" fontId="0" fillId="0" borderId="0" xfId="0"/>
    <xf numFmtId="0" fontId="0" fillId="3" borderId="0" xfId="0" applyFill="1"/>
    <xf numFmtId="0" fontId="1" fillId="0" borderId="0" xfId="0" applyFont="1"/>
    <xf numFmtId="4" fontId="2" fillId="0" borderId="0" xfId="1" applyNumberFormat="1"/>
    <xf numFmtId="164" fontId="2" fillId="0" borderId="0" xfId="1" applyNumberFormat="1"/>
    <xf numFmtId="0" fontId="2" fillId="0" borderId="0" xfId="1"/>
    <xf numFmtId="0" fontId="0" fillId="5" borderId="0" xfId="0" applyFill="1"/>
    <xf numFmtId="0" fontId="0" fillId="0" borderId="0" xfId="0" applyAlignment="1">
      <alignment horizontal="right"/>
    </xf>
    <xf numFmtId="2" fontId="0" fillId="0" borderId="0" xfId="0" applyNumberFormat="1"/>
    <xf numFmtId="1" fontId="0" fillId="0" borderId="0" xfId="0" applyNumberFormat="1"/>
    <xf numFmtId="0" fontId="0" fillId="0" borderId="3" xfId="0" applyBorder="1"/>
    <xf numFmtId="0" fontId="0" fillId="0" borderId="3" xfId="0" applyBorder="1" applyAlignment="1">
      <alignment horizontal="right"/>
    </xf>
    <xf numFmtId="165" fontId="0" fillId="0" borderId="3" xfId="0" applyNumberFormat="1" applyBorder="1"/>
    <xf numFmtId="2" fontId="0" fillId="0" borderId="3" xfId="0" applyNumberFormat="1" applyBorder="1"/>
    <xf numFmtId="16" fontId="0" fillId="0" borderId="0" xfId="0" applyNumberFormat="1" applyAlignment="1">
      <alignment horizontal="right"/>
    </xf>
    <xf numFmtId="0" fontId="0" fillId="0" borderId="1" xfId="0" applyBorder="1"/>
    <xf numFmtId="0" fontId="0" fillId="0" borderId="0" xfId="0" applyAlignment="1">
      <alignment horizontal="center"/>
    </xf>
    <xf numFmtId="4" fontId="2" fillId="2" borderId="3" xfId="1" applyNumberFormat="1" applyFill="1" applyBorder="1"/>
    <xf numFmtId="0" fontId="2" fillId="2" borderId="3" xfId="1" applyFill="1" applyBorder="1"/>
    <xf numFmtId="2" fontId="2" fillId="2" borderId="3" xfId="1" applyNumberFormat="1" applyFill="1" applyBorder="1"/>
    <xf numFmtId="0" fontId="0" fillId="2" borderId="3" xfId="0" applyFill="1" applyBorder="1"/>
    <xf numFmtId="0" fontId="0" fillId="0" borderId="12" xfId="0" applyBorder="1"/>
    <xf numFmtId="0" fontId="0" fillId="0" borderId="2" xfId="0" applyBorder="1"/>
    <xf numFmtId="0" fontId="0" fillId="0" borderId="13" xfId="0" applyBorder="1"/>
    <xf numFmtId="0" fontId="3" fillId="0" borderId="0" xfId="0" applyFont="1"/>
    <xf numFmtId="164" fontId="0" fillId="0" borderId="0" xfId="0" applyNumberFormat="1"/>
    <xf numFmtId="164" fontId="1" fillId="0" borderId="0" xfId="0" applyNumberFormat="1" applyFont="1"/>
    <xf numFmtId="0" fontId="0" fillId="4" borderId="0" xfId="0" applyFill="1" applyProtection="1">
      <protection locked="0"/>
    </xf>
    <xf numFmtId="0" fontId="1" fillId="4" borderId="0" xfId="0" applyFont="1" applyFill="1" applyProtection="1">
      <protection locked="0"/>
    </xf>
    <xf numFmtId="0" fontId="4" fillId="0" borderId="0" xfId="0" applyFont="1" applyAlignment="1">
      <alignment vertical="center"/>
    </xf>
    <xf numFmtId="0" fontId="5" fillId="0" borderId="0" xfId="0" applyFont="1" applyAlignment="1">
      <alignment vertical="center"/>
    </xf>
    <xf numFmtId="0" fontId="4" fillId="4" borderId="0" xfId="0" applyFont="1" applyFill="1" applyAlignment="1">
      <alignment vertical="center"/>
    </xf>
    <xf numFmtId="0" fontId="6" fillId="0" borderId="0" xfId="0" applyFont="1" applyAlignment="1">
      <alignment vertical="center"/>
    </xf>
    <xf numFmtId="17" fontId="0" fillId="0" borderId="0" xfId="0" applyNumberFormat="1"/>
    <xf numFmtId="0" fontId="0" fillId="0" borderId="0" xfId="0" applyAlignment="1">
      <alignment wrapText="1"/>
    </xf>
    <xf numFmtId="0" fontId="0" fillId="7" borderId="0" xfId="0" applyFill="1" applyAlignment="1">
      <alignment horizontal="center"/>
    </xf>
    <xf numFmtId="0" fontId="0" fillId="7" borderId="0" xfId="0" applyFill="1"/>
    <xf numFmtId="0" fontId="0" fillId="8" borderId="0" xfId="0" applyFill="1"/>
    <xf numFmtId="0" fontId="10" fillId="0" borderId="0" xfId="0" applyFont="1"/>
    <xf numFmtId="0" fontId="11" fillId="0" borderId="0" xfId="0" applyFont="1"/>
    <xf numFmtId="0" fontId="12" fillId="0" borderId="4" xfId="0" applyFont="1" applyBorder="1"/>
    <xf numFmtId="0" fontId="11" fillId="0" borderId="5" xfId="0" applyFont="1" applyBorder="1"/>
    <xf numFmtId="0" fontId="11" fillId="0" borderId="6" xfId="0" applyFont="1" applyBorder="1"/>
    <xf numFmtId="0" fontId="11" fillId="8" borderId="0" xfId="0" applyFont="1" applyFill="1"/>
    <xf numFmtId="0" fontId="11" fillId="0" borderId="7" xfId="0" applyFont="1" applyBorder="1"/>
    <xf numFmtId="0" fontId="10" fillId="0" borderId="0" xfId="0" applyFont="1" applyAlignment="1">
      <alignment horizontal="center"/>
    </xf>
    <xf numFmtId="0" fontId="11" fillId="0" borderId="0" xfId="0" applyFont="1" applyAlignment="1">
      <alignment horizontal="center"/>
    </xf>
    <xf numFmtId="0" fontId="11" fillId="0" borderId="8" xfId="0" applyFont="1" applyBorder="1"/>
    <xf numFmtId="0" fontId="11" fillId="4" borderId="0" xfId="0" applyFont="1" applyFill="1"/>
    <xf numFmtId="1" fontId="11" fillId="0" borderId="0" xfId="0" applyNumberFormat="1" applyFont="1" applyAlignment="1">
      <alignment horizontal="center"/>
    </xf>
    <xf numFmtId="2" fontId="11" fillId="0" borderId="0" xfId="0" applyNumberFormat="1" applyFont="1"/>
    <xf numFmtId="0" fontId="13" fillId="7" borderId="7" xfId="0" applyFont="1" applyFill="1" applyBorder="1"/>
    <xf numFmtId="0" fontId="13" fillId="7" borderId="0" xfId="0" applyFont="1" applyFill="1"/>
    <xf numFmtId="166" fontId="13" fillId="7" borderId="0" xfId="0" applyNumberFormat="1" applyFont="1" applyFill="1"/>
    <xf numFmtId="0" fontId="13" fillId="7" borderId="8" xfId="0" applyFont="1" applyFill="1" applyBorder="1"/>
    <xf numFmtId="0" fontId="11" fillId="2" borderId="0" xfId="0" applyFont="1" applyFill="1"/>
    <xf numFmtId="0" fontId="11" fillId="0" borderId="9" xfId="0" applyFont="1" applyBorder="1"/>
    <xf numFmtId="0" fontId="11" fillId="0" borderId="10" xfId="0" applyFont="1" applyBorder="1"/>
    <xf numFmtId="0" fontId="11" fillId="0" borderId="11" xfId="0" applyFont="1" applyBorder="1"/>
    <xf numFmtId="0" fontId="11" fillId="6" borderId="0" xfId="0" applyFont="1" applyFill="1"/>
    <xf numFmtId="0" fontId="14" fillId="0" borderId="0" xfId="0" applyFont="1"/>
    <xf numFmtId="0" fontId="15" fillId="0" borderId="0" xfId="0" applyFont="1"/>
    <xf numFmtId="0" fontId="11" fillId="8" borderId="7" xfId="0" applyFont="1" applyFill="1" applyBorder="1"/>
    <xf numFmtId="2" fontId="11" fillId="8" borderId="0" xfId="0" applyNumberFormat="1" applyFont="1" applyFill="1" applyAlignment="1">
      <alignment horizontal="center"/>
    </xf>
    <xf numFmtId="0" fontId="11" fillId="8" borderId="0" xfId="0" applyFont="1" applyFill="1" applyAlignment="1">
      <alignment horizontal="center"/>
    </xf>
    <xf numFmtId="0" fontId="11" fillId="8" borderId="8" xfId="0" applyFont="1" applyFill="1" applyBorder="1"/>
    <xf numFmtId="165" fontId="11" fillId="8" borderId="0" xfId="0" applyNumberFormat="1" applyFont="1" applyFill="1" applyAlignment="1">
      <alignment horizontal="center"/>
    </xf>
    <xf numFmtId="2" fontId="11" fillId="8" borderId="0" xfId="0" applyNumberFormat="1" applyFont="1" applyFill="1"/>
    <xf numFmtId="0" fontId="12" fillId="0" borderId="0" xfId="0" applyFont="1"/>
    <xf numFmtId="0" fontId="16" fillId="0" borderId="0" xfId="0" applyFont="1"/>
    <xf numFmtId="0" fontId="10" fillId="8" borderId="0" xfId="0" applyFont="1" applyFill="1"/>
    <xf numFmtId="165" fontId="11" fillId="9" borderId="0" xfId="0" applyNumberFormat="1" applyFont="1" applyFill="1"/>
    <xf numFmtId="0" fontId="7" fillId="8" borderId="0" xfId="0" applyFont="1" applyFill="1" applyAlignment="1">
      <alignment vertical="center"/>
    </xf>
    <xf numFmtId="0" fontId="8" fillId="8" borderId="0" xfId="0" applyFont="1" applyFill="1" applyAlignment="1">
      <alignment vertical="center"/>
    </xf>
    <xf numFmtId="0" fontId="4" fillId="0" borderId="0" xfId="0" applyFont="1" applyAlignment="1">
      <alignment vertical="center" wrapText="1"/>
    </xf>
    <xf numFmtId="17" fontId="4" fillId="0" borderId="0" xfId="0" applyNumberFormat="1" applyFont="1" applyAlignment="1">
      <alignment vertical="center"/>
    </xf>
    <xf numFmtId="49" fontId="0" fillId="0" borderId="0" xfId="0" applyNumberFormat="1"/>
    <xf numFmtId="0" fontId="11" fillId="8" borderId="0" xfId="0" quotePrefix="1" applyFont="1" applyFill="1"/>
    <xf numFmtId="0" fontId="11" fillId="4" borderId="0" xfId="0" applyFont="1" applyFill="1" applyProtection="1">
      <protection locked="0"/>
    </xf>
    <xf numFmtId="0" fontId="10" fillId="4" borderId="0" xfId="0" applyFont="1" applyFill="1" applyProtection="1">
      <protection locked="0"/>
    </xf>
    <xf numFmtId="0" fontId="9" fillId="7" borderId="0" xfId="0" applyFont="1" applyFill="1" applyAlignment="1">
      <alignment horizontal="center" vertical="center"/>
    </xf>
    <xf numFmtId="0" fontId="3" fillId="0" borderId="0" xfId="0" applyFont="1"/>
    <xf numFmtId="0" fontId="0" fillId="0" borderId="0" xfId="0" applyAlignment="1">
      <alignment horizontal="center"/>
    </xf>
  </cellXfs>
  <cellStyles count="2">
    <cellStyle name="Normal" xfId="0" builtinId="0"/>
    <cellStyle name="Normal 2" xfId="1" xr:uid="{00000000-0005-0000-0000-000001000000}"/>
  </cellStyles>
  <dxfs count="11">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1B3BC"/>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6AEB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1"/>
  <c:style val="2"/>
  <c:chart>
    <c:title>
      <c:tx>
        <c:rich>
          <a:bodyPr rot="0" spcFirstLastPara="1" vertOverflow="ellipsis" vert="horz" wrap="square" anchor="ctr" anchorCtr="1"/>
          <a:lstStyle/>
          <a:p>
            <a:pPr>
              <a:defRPr sz="1400" b="0" i="0" strike="noStrike" kern="1200" spc="0" baseline="0">
                <a:solidFill>
                  <a:schemeClr val="tx1">
                    <a:lumMod val="65000"/>
                    <a:lumOff val="35000"/>
                  </a:schemeClr>
                </a:solidFill>
                <a:latin typeface="+mn-lt"/>
                <a:ea typeface="+mn-ea"/>
                <a:cs typeface="+mn-cs"/>
              </a:defRPr>
            </a:pPr>
            <a:r>
              <a:rPr lang="da-DK"/>
              <a:t>Forv. procent grise med kødpct Under 53,6</a:t>
            </a:r>
          </a:p>
        </c:rich>
      </c:tx>
      <c:overlay val="0"/>
      <c:spPr>
        <a:noFill/>
        <a:ln>
          <a:noFill/>
          <a:prstDash val="solid"/>
        </a:ln>
      </c:spPr>
    </c:title>
    <c:autoTitleDeleted val="0"/>
    <c:plotArea>
      <c:layout/>
      <c:scatterChart>
        <c:scatterStyle val="lineMarker"/>
        <c:varyColors val="0"/>
        <c:ser>
          <c:idx val="0"/>
          <c:order val="0"/>
          <c:tx>
            <c:strRef>
              <c:f>Beregning!$B$68</c:f>
              <c:strCache>
                <c:ptCount val="1"/>
                <c:pt idx="0">
                  <c:v>Forv. Under 53,6%</c:v>
                </c:pt>
              </c:strCache>
            </c:strRef>
          </c:tx>
          <c:spPr>
            <a:ln w="38100" cap="rnd">
              <a:noFill/>
              <a:prstDash val="solid"/>
              <a:round/>
            </a:ln>
          </c:spPr>
          <c:marker>
            <c:symbol val="circle"/>
            <c:size val="5"/>
            <c:spPr>
              <a:solidFill>
                <a:schemeClr val="accent1"/>
              </a:solidFill>
              <a:ln w="9525">
                <a:solidFill>
                  <a:schemeClr val="accent1"/>
                </a:solidFill>
                <a:prstDash val="solid"/>
              </a:ln>
            </c:spPr>
          </c:marker>
          <c:trendline>
            <c:spPr>
              <a:ln w="19050" cap="rnd">
                <a:solidFill>
                  <a:schemeClr val="accent1"/>
                </a:solidFill>
                <a:prstDash val="sysDot"/>
              </a:ln>
            </c:spPr>
            <c:trendlineType val="poly"/>
            <c:order val="2"/>
            <c:dispRSqr val="1"/>
            <c:dispEq val="1"/>
            <c:trendlineLbl>
              <c:layout>
                <c:manualLayout>
                  <c:x val="6.2294619422572181E-2"/>
                  <c:y val="-0.64535032079323418"/>
                </c:manualLayout>
              </c:layout>
              <c:numFmt formatCode="General" sourceLinked="0"/>
              <c:spPr>
                <a:noFill/>
                <a:ln>
                  <a:noFill/>
                  <a:prstDash val="solid"/>
                </a:ln>
              </c:spPr>
              <c:txPr>
                <a:bodyPr rot="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da-DK"/>
                </a:p>
              </c:txPr>
            </c:trendlineLbl>
          </c:trendline>
          <c:xVal>
            <c:numRef>
              <c:f>Beregning!$C$67:$I$67</c:f>
              <c:numCache>
                <c:formatCode>General</c:formatCode>
                <c:ptCount val="7"/>
                <c:pt idx="1">
                  <c:v>56</c:v>
                </c:pt>
                <c:pt idx="2">
                  <c:v>57</c:v>
                </c:pt>
                <c:pt idx="3">
                  <c:v>58</c:v>
                </c:pt>
                <c:pt idx="4">
                  <c:v>59</c:v>
                </c:pt>
                <c:pt idx="5">
                  <c:v>60</c:v>
                </c:pt>
                <c:pt idx="6">
                  <c:v>61</c:v>
                </c:pt>
              </c:numCache>
            </c:numRef>
          </c:xVal>
          <c:yVal>
            <c:numRef>
              <c:f>Beregning!$C$68:$I$68</c:f>
              <c:numCache>
                <c:formatCode>General</c:formatCode>
                <c:ptCount val="7"/>
                <c:pt idx="1">
                  <c:v>23.8</c:v>
                </c:pt>
                <c:pt idx="2">
                  <c:v>14.8</c:v>
                </c:pt>
                <c:pt idx="3">
                  <c:v>7.8</c:v>
                </c:pt>
                <c:pt idx="4">
                  <c:v>3.15</c:v>
                </c:pt>
                <c:pt idx="5">
                  <c:v>0.5</c:v>
                </c:pt>
                <c:pt idx="6">
                  <c:v>0</c:v>
                </c:pt>
              </c:numCache>
            </c:numRef>
          </c:yVal>
          <c:smooth val="0"/>
          <c:extLst>
            <c:ext xmlns:c16="http://schemas.microsoft.com/office/drawing/2014/chart" uri="{C3380CC4-5D6E-409C-BE32-E72D297353CC}">
              <c16:uniqueId val="{00000001-1BDE-4B0A-9DB3-304D332959E3}"/>
            </c:ext>
          </c:extLst>
        </c:ser>
        <c:dLbls>
          <c:showLegendKey val="0"/>
          <c:showVal val="0"/>
          <c:showCatName val="0"/>
          <c:showSerName val="0"/>
          <c:showPercent val="0"/>
          <c:showBubbleSize val="0"/>
        </c:dLbls>
        <c:axId val="277972991"/>
        <c:axId val="277971071"/>
      </c:scatterChart>
      <c:valAx>
        <c:axId val="277972991"/>
        <c:scaling>
          <c:orientation val="minMax"/>
        </c:scaling>
        <c:delete val="0"/>
        <c:axPos val="b"/>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da-DK"/>
          </a:p>
        </c:txPr>
        <c:crossAx val="277971071"/>
        <c:crosses val="autoZero"/>
        <c:crossBetween val="midCat"/>
      </c:valAx>
      <c:valAx>
        <c:axId val="277971071"/>
        <c:scaling>
          <c:orientation val="minMax"/>
        </c:scaling>
        <c:delete val="0"/>
        <c:axPos val="l"/>
        <c:majorGridlines>
          <c:spPr>
            <a:ln w="9525" cap="flat" cmpd="sng" algn="ctr">
              <a:solidFill>
                <a:schemeClr val="tx1">
                  <a:lumMod val="15000"/>
                  <a:lumOff val="85000"/>
                </a:schemeClr>
              </a:solidFill>
              <a:prstDash val="solid"/>
              <a:round/>
            </a:ln>
          </c:spPr>
        </c:majorGridlines>
        <c:numFmt formatCode="General" sourceLinked="1"/>
        <c:majorTickMark val="none"/>
        <c:minorTickMark val="none"/>
        <c:tickLblPos val="nextTo"/>
        <c:spPr>
          <a:noFill/>
          <a:ln w="9525" cap="flat" cmpd="sng" algn="ctr">
            <a:solidFill>
              <a:schemeClr val="tx1">
                <a:lumMod val="25000"/>
                <a:lumOff val="75000"/>
              </a:schemeClr>
            </a:solidFill>
            <a:prstDash val="solid"/>
            <a:round/>
          </a:ln>
        </c:spPr>
        <c:txPr>
          <a:bodyPr rot="-60000000" spcFirstLastPara="1" vertOverflow="ellipsis" vert="horz" wrap="square" anchor="ctr" anchorCtr="1"/>
          <a:lstStyle/>
          <a:p>
            <a:pPr>
              <a:defRPr sz="900" b="0" i="0" strike="noStrike" kern="1200" baseline="0">
                <a:solidFill>
                  <a:schemeClr val="tx1">
                    <a:lumMod val="65000"/>
                    <a:lumOff val="35000"/>
                  </a:schemeClr>
                </a:solidFill>
                <a:latin typeface="+mn-lt"/>
                <a:ea typeface="+mn-ea"/>
                <a:cs typeface="+mn-cs"/>
              </a:defRPr>
            </a:pPr>
            <a:endParaRPr lang="da-DK"/>
          </a:p>
        </c:txPr>
        <c:crossAx val="277972991"/>
        <c:crosses val="autoZero"/>
        <c:crossBetween val="midCat"/>
      </c:valAx>
    </c:plotArea>
    <c:plotVisOnly val="1"/>
    <c:dispBlanksAs val="gap"/>
    <c:showDLblsOverMax val="1"/>
  </c:chart>
  <c:spPr>
    <a:solidFill>
      <a:schemeClr val="bg1"/>
    </a:solidFill>
    <a:ln w="9525" cap="flat" cmpd="sng" algn="ctr">
      <a:solidFill>
        <a:schemeClr val="tx1">
          <a:lumMod val="15000"/>
          <a:lumOff val="85000"/>
        </a:schemeClr>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2</xdr:col>
      <xdr:colOff>563880</xdr:colOff>
      <xdr:row>68</xdr:row>
      <xdr:rowOff>64770</xdr:rowOff>
    </xdr:from>
    <xdr:to>
      <xdr:col>9</xdr:col>
      <xdr:colOff>15240</xdr:colOff>
      <xdr:row>83</xdr:row>
      <xdr:rowOff>64770</xdr:rowOff>
    </xdr:to>
    <xdr:graphicFrame macro="">
      <xdr:nvGraphicFramePr>
        <xdr:cNvPr id="2" name="Chart 2">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410217</xdr:colOff>
      <xdr:row>113</xdr:row>
      <xdr:rowOff>143933</xdr:rowOff>
    </xdr:from>
    <xdr:to>
      <xdr:col>9</xdr:col>
      <xdr:colOff>0</xdr:colOff>
      <xdr:row>132</xdr:row>
      <xdr:rowOff>31315</xdr:rowOff>
    </xdr:to>
    <xdr:pic>
      <xdr:nvPicPr>
        <xdr:cNvPr id="5" name="Billede 4">
          <a:extLst>
            <a:ext uri="{FF2B5EF4-FFF2-40B4-BE49-F238E27FC236}">
              <a16:creationId xmlns:a16="http://schemas.microsoft.com/office/drawing/2014/main" id="{469235D0-E194-80EB-7883-DD88B05744E7}"/>
            </a:ext>
          </a:extLst>
        </xdr:cNvPr>
        <xdr:cNvPicPr>
          <a:picLocks noChangeAspect="1"/>
        </xdr:cNvPicPr>
      </xdr:nvPicPr>
      <xdr:blipFill>
        <a:blip xmlns:r="http://schemas.openxmlformats.org/officeDocument/2006/relationships" r:embed="rId2"/>
        <a:stretch>
          <a:fillRect/>
        </a:stretch>
      </xdr:blipFill>
      <xdr:spPr>
        <a:xfrm>
          <a:off x="410217" y="21192066"/>
          <a:ext cx="6253050" cy="34264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815120</xdr:colOff>
      <xdr:row>34</xdr:row>
      <xdr:rowOff>176298</xdr:rowOff>
    </xdr:from>
    <xdr:to>
      <xdr:col>17</xdr:col>
      <xdr:colOff>416375</xdr:colOff>
      <xdr:row>39</xdr:row>
      <xdr:rowOff>33911</xdr:rowOff>
    </xdr:to>
    <xdr:pic>
      <xdr:nvPicPr>
        <xdr:cNvPr id="3" name="Billede 2">
          <a:extLst>
            <a:ext uri="{FF2B5EF4-FFF2-40B4-BE49-F238E27FC236}">
              <a16:creationId xmlns:a16="http://schemas.microsoft.com/office/drawing/2014/main" id="{F4462147-1E84-82A6-1794-A3CCD5B82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36707" y="6898750"/>
          <a:ext cx="3319668" cy="819272"/>
        </a:xfrm>
        <a:prstGeom prst="rect">
          <a:avLst/>
        </a:prstGeom>
      </xdr:spPr>
    </xdr:pic>
    <xdr:clientData/>
  </xdr:twoCellAnchor>
  <xdr:twoCellAnchor editAs="oneCell">
    <xdr:from>
      <xdr:col>8</xdr:col>
      <xdr:colOff>352246</xdr:colOff>
      <xdr:row>26</xdr:row>
      <xdr:rowOff>160393</xdr:rowOff>
    </xdr:from>
    <xdr:to>
      <xdr:col>12</xdr:col>
      <xdr:colOff>366623</xdr:colOff>
      <xdr:row>39</xdr:row>
      <xdr:rowOff>121921</xdr:rowOff>
    </xdr:to>
    <xdr:sp macro="" textlink="">
      <xdr:nvSpPr>
        <xdr:cNvPr id="1025" name="AutoShape 1">
          <a:extLst>
            <a:ext uri="{FF2B5EF4-FFF2-40B4-BE49-F238E27FC236}">
              <a16:creationId xmlns:a16="http://schemas.microsoft.com/office/drawing/2014/main" id="{0D14F6AC-549E-E2EE-E082-AEE272C7F800}"/>
            </a:ext>
          </a:extLst>
        </xdr:cNvPr>
        <xdr:cNvSpPr>
          <a:spLocks noChangeAspect="1" noChangeArrowheads="1"/>
        </xdr:cNvSpPr>
      </xdr:nvSpPr>
      <xdr:spPr bwMode="auto">
        <a:xfrm>
          <a:off x="7806906" y="5120582"/>
          <a:ext cx="3335547" cy="229784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8763000</xdr:colOff>
      <xdr:row>49</xdr:row>
      <xdr:rowOff>142875</xdr:rowOff>
    </xdr:from>
    <xdr:to>
      <xdr:col>1</xdr:col>
      <xdr:colOff>12084396</xdr:colOff>
      <xdr:row>53</xdr:row>
      <xdr:rowOff>182002</xdr:rowOff>
    </xdr:to>
    <xdr:pic>
      <xdr:nvPicPr>
        <xdr:cNvPr id="2" name="Billede 1">
          <a:extLst>
            <a:ext uri="{FF2B5EF4-FFF2-40B4-BE49-F238E27FC236}">
              <a16:creationId xmlns:a16="http://schemas.microsoft.com/office/drawing/2014/main" id="{EBB6197E-09D5-4F5A-8B7F-51F7938493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6250" y="9715500"/>
          <a:ext cx="3321396" cy="801127"/>
        </a:xfrm>
        <a:prstGeom prst="rect">
          <a:avLst/>
        </a:prstGeom>
      </xdr:spPr>
    </xdr:pic>
    <xdr:clientData/>
  </xdr:twoCellAnchor>
  <xdr:twoCellAnchor editAs="oneCell">
    <xdr:from>
      <xdr:col>1</xdr:col>
      <xdr:colOff>3032126</xdr:colOff>
      <xdr:row>49</xdr:row>
      <xdr:rowOff>139837</xdr:rowOff>
    </xdr:from>
    <xdr:to>
      <xdr:col>1</xdr:col>
      <xdr:colOff>5095875</xdr:colOff>
      <xdr:row>54</xdr:row>
      <xdr:rowOff>57148</xdr:rowOff>
    </xdr:to>
    <xdr:pic>
      <xdr:nvPicPr>
        <xdr:cNvPr id="4" name="Billede 3">
          <a:extLst>
            <a:ext uri="{FF2B5EF4-FFF2-40B4-BE49-F238E27FC236}">
              <a16:creationId xmlns:a16="http://schemas.microsoft.com/office/drawing/2014/main" id="{C0AEAF9D-1999-8677-9DC0-84193E3FAD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35376" y="9712462"/>
          <a:ext cx="2063749" cy="869811"/>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2"/>
  <dimension ref="A2:N189"/>
  <sheetViews>
    <sheetView zoomScale="95" zoomScaleNormal="90" workbookViewId="0">
      <selection activeCell="L6" sqref="L6"/>
    </sheetView>
  </sheetViews>
  <sheetFormatPr defaultRowHeight="15" x14ac:dyDescent="0.25"/>
  <cols>
    <col min="3" max="3" width="13.7109375" bestFit="1" customWidth="1"/>
    <col min="4" max="4" width="11" customWidth="1"/>
    <col min="5" max="5" width="12.140625" customWidth="1"/>
    <col min="6" max="6" width="12" bestFit="1" customWidth="1"/>
    <col min="7" max="7" width="12.85546875" customWidth="1"/>
    <col min="12" max="12" width="11.28515625" customWidth="1"/>
  </cols>
  <sheetData>
    <row r="2" spans="1:14" x14ac:dyDescent="0.25">
      <c r="A2" s="1"/>
      <c r="B2" s="1"/>
      <c r="C2" s="1"/>
      <c r="D2" s="1"/>
      <c r="E2" s="1"/>
      <c r="F2" s="1"/>
      <c r="G2" s="1"/>
      <c r="H2" s="1"/>
      <c r="I2" s="1"/>
      <c r="J2" s="1"/>
      <c r="K2" s="1"/>
      <c r="L2" s="1"/>
      <c r="M2" s="1"/>
      <c r="N2" s="1"/>
    </row>
    <row r="3" spans="1:14" x14ac:dyDescent="0.25">
      <c r="A3" s="1"/>
      <c r="B3" s="1"/>
      <c r="C3" s="1"/>
      <c r="D3" s="1"/>
      <c r="E3" s="1"/>
      <c r="F3" s="1"/>
      <c r="G3" s="1"/>
      <c r="H3" s="1"/>
      <c r="I3" s="1"/>
      <c r="J3" s="1"/>
      <c r="K3" s="1"/>
      <c r="L3" s="1"/>
      <c r="M3" s="1"/>
      <c r="N3" s="1"/>
    </row>
    <row r="4" spans="1:14" x14ac:dyDescent="0.25">
      <c r="A4" s="1"/>
      <c r="B4" s="2" t="s">
        <v>0</v>
      </c>
      <c r="K4" t="s">
        <v>1</v>
      </c>
      <c r="N4" s="1"/>
    </row>
    <row r="5" spans="1:14" x14ac:dyDescent="0.25">
      <c r="A5" s="1"/>
      <c r="B5" s="2" t="s">
        <v>2</v>
      </c>
      <c r="D5" t="s">
        <v>3</v>
      </c>
      <c r="E5" s="7" t="s">
        <v>4</v>
      </c>
      <c r="F5" s="7" t="s">
        <v>5</v>
      </c>
      <c r="G5" s="7" t="s">
        <v>6</v>
      </c>
      <c r="H5" s="7" t="s">
        <v>7</v>
      </c>
      <c r="I5" s="7" t="s">
        <v>8</v>
      </c>
      <c r="K5" t="s">
        <v>9</v>
      </c>
      <c r="L5" t="s">
        <v>10</v>
      </c>
      <c r="M5" t="s">
        <v>11</v>
      </c>
      <c r="N5" s="1"/>
    </row>
    <row r="6" spans="1:14" x14ac:dyDescent="0.25">
      <c r="A6" s="1"/>
      <c r="B6" t="s">
        <v>12</v>
      </c>
      <c r="E6">
        <f>+('Digitalt management værktøj'!$E$14-'Digitalt management værktøj'!$C$14)*0.01</f>
        <v>-0.01</v>
      </c>
      <c r="F6" s="8">
        <f>J33-H33</f>
        <v>-2.4823708444053683E-2</v>
      </c>
      <c r="H6">
        <f>F169</f>
        <v>0</v>
      </c>
      <c r="I6">
        <f>F168</f>
        <v>0</v>
      </c>
      <c r="K6">
        <f>+SUM(E6:I6)</f>
        <v>-3.4823708444053685E-2</v>
      </c>
      <c r="L6" s="27">
        <v>95</v>
      </c>
      <c r="M6">
        <f>+K6/100*L6</f>
        <v>-3.3082523021851003E-2</v>
      </c>
      <c r="N6" s="1"/>
    </row>
    <row r="7" spans="1:14" x14ac:dyDescent="0.25">
      <c r="A7" s="1"/>
      <c r="N7" s="1"/>
    </row>
    <row r="8" spans="1:14" x14ac:dyDescent="0.25">
      <c r="A8" s="1"/>
      <c r="B8" t="s">
        <v>13</v>
      </c>
      <c r="E8">
        <f>+('Digitalt management værktøj'!$E$14-'Digitalt management værktøj'!$C$14)*6</f>
        <v>-6</v>
      </c>
      <c r="F8" s="9">
        <f>E61-C61</f>
        <v>18.281999999999925</v>
      </c>
      <c r="H8">
        <f>F165</f>
        <v>0</v>
      </c>
      <c r="I8">
        <f>F164</f>
        <v>0</v>
      </c>
      <c r="K8">
        <f>+SUM(E8:I8)</f>
        <v>12.281999999999925</v>
      </c>
      <c r="L8" s="27">
        <v>80</v>
      </c>
      <c r="M8">
        <f>+K8/100*L8</f>
        <v>9.8255999999999393</v>
      </c>
      <c r="N8" s="1"/>
    </row>
    <row r="9" spans="1:14" x14ac:dyDescent="0.25">
      <c r="A9" s="1"/>
      <c r="N9" s="1"/>
    </row>
    <row r="10" spans="1:14" x14ac:dyDescent="0.25">
      <c r="A10" s="1"/>
      <c r="B10" t="s">
        <v>14</v>
      </c>
      <c r="E10">
        <f>+('Digitalt management værktøj'!$E$14-'Digitalt management værktøj'!$C$14)*-0.01</f>
        <v>0.01</v>
      </c>
      <c r="F10" s="8"/>
      <c r="G10" s="25">
        <f>F136</f>
        <v>0.14832465994070532</v>
      </c>
      <c r="K10">
        <f>+SUM(E10:I10)</f>
        <v>0.15832465994070533</v>
      </c>
      <c r="L10" s="27">
        <v>125</v>
      </c>
      <c r="M10">
        <f>+K10/100*L10</f>
        <v>0.19790582492588166</v>
      </c>
      <c r="N10" s="1"/>
    </row>
    <row r="11" spans="1:14" x14ac:dyDescent="0.25">
      <c r="A11" s="1"/>
      <c r="L11" s="2"/>
      <c r="N11" s="1"/>
    </row>
    <row r="12" spans="1:14" x14ac:dyDescent="0.25">
      <c r="A12" s="1"/>
      <c r="B12" t="s">
        <v>15</v>
      </c>
      <c r="K12" s="25">
        <f>E85-E86</f>
        <v>0.59241540386528868</v>
      </c>
      <c r="L12" s="28">
        <v>90</v>
      </c>
      <c r="M12">
        <f>+K12/100*L12</f>
        <v>0.53317386347875984</v>
      </c>
      <c r="N12" s="1"/>
    </row>
    <row r="13" spans="1:14" x14ac:dyDescent="0.25">
      <c r="A13" s="1"/>
      <c r="B13" t="s">
        <v>16</v>
      </c>
      <c r="D13">
        <v>2</v>
      </c>
      <c r="E13" t="s">
        <v>17</v>
      </c>
      <c r="L13" s="26"/>
      <c r="N13" s="1"/>
    </row>
    <row r="14" spans="1:14" x14ac:dyDescent="0.25">
      <c r="A14" s="1"/>
      <c r="B14" s="1"/>
      <c r="C14" s="1"/>
      <c r="D14" s="1"/>
      <c r="E14" s="1"/>
      <c r="F14" s="1"/>
      <c r="G14" s="1"/>
      <c r="H14" s="1"/>
      <c r="I14" s="1"/>
      <c r="J14" s="1"/>
      <c r="K14" s="1"/>
      <c r="L14" s="1" t="s">
        <v>18</v>
      </c>
      <c r="M14" s="1"/>
      <c r="N14" s="1"/>
    </row>
    <row r="15" spans="1:14" x14ac:dyDescent="0.25">
      <c r="A15" s="1"/>
      <c r="B15" s="1"/>
      <c r="C15" s="1"/>
      <c r="D15" s="1"/>
      <c r="E15" s="1"/>
      <c r="F15" s="1"/>
      <c r="G15" s="1"/>
      <c r="H15" s="1"/>
      <c r="I15" s="1"/>
      <c r="J15" s="1"/>
      <c r="K15" s="1"/>
      <c r="L15" s="1" t="s">
        <v>19</v>
      </c>
      <c r="M15" s="1"/>
      <c r="N15" s="1"/>
    </row>
    <row r="16" spans="1:14" s="2" customFormat="1" x14ac:dyDescent="0.25">
      <c r="A16" s="2" t="s">
        <v>20</v>
      </c>
      <c r="L16" t="s">
        <v>21</v>
      </c>
    </row>
    <row r="17" spans="1:10" x14ac:dyDescent="0.25">
      <c r="B17" t="s">
        <v>22</v>
      </c>
      <c r="I17" t="s">
        <v>23</v>
      </c>
    </row>
    <row r="18" spans="1:10" x14ac:dyDescent="0.25">
      <c r="I18" t="s">
        <v>24</v>
      </c>
    </row>
    <row r="19" spans="1:10" x14ac:dyDescent="0.25">
      <c r="B19" t="s">
        <v>25</v>
      </c>
    </row>
    <row r="21" spans="1:10" x14ac:dyDescent="0.25">
      <c r="B21" s="3" t="s">
        <v>26</v>
      </c>
      <c r="C21" s="3"/>
      <c r="D21" s="3"/>
      <c r="E21" s="4"/>
      <c r="F21" s="5"/>
    </row>
    <row r="22" spans="1:10" x14ac:dyDescent="0.25">
      <c r="B22" s="5" t="s">
        <v>27</v>
      </c>
      <c r="C22" s="5" t="s">
        <v>28</v>
      </c>
      <c r="D22" s="5" t="s">
        <v>29</v>
      </c>
      <c r="E22" s="5" t="s">
        <v>30</v>
      </c>
      <c r="F22" s="3" t="s">
        <v>31</v>
      </c>
    </row>
    <row r="23" spans="1:10" x14ac:dyDescent="0.25">
      <c r="B23" s="17">
        <v>0</v>
      </c>
      <c r="C23" s="18">
        <f>B24-0.1</f>
        <v>54</v>
      </c>
      <c r="D23" s="19">
        <f>(B23-B24)*F23+D24</f>
        <v>-14.025</v>
      </c>
      <c r="E23" s="17">
        <f>D24+(C23-B24)*F23</f>
        <v>-0.52500000000000036</v>
      </c>
      <c r="F23" s="17">
        <v>0.25</v>
      </c>
      <c r="H23" t="s">
        <v>32</v>
      </c>
    </row>
    <row r="24" spans="1:10" x14ac:dyDescent="0.25">
      <c r="B24" s="17">
        <v>54.1</v>
      </c>
      <c r="C24" s="18">
        <f>B25-0.1</f>
        <v>56</v>
      </c>
      <c r="D24" s="19">
        <f>(B24-B25)*F24+D25</f>
        <v>-0.5</v>
      </c>
      <c r="E24" s="17">
        <f>D25+(C24-B25)*F24</f>
        <v>-0.21500000000000022</v>
      </c>
      <c r="F24" s="17">
        <v>0.15</v>
      </c>
    </row>
    <row r="25" spans="1:10" x14ac:dyDescent="0.25">
      <c r="B25" s="17">
        <v>56.1</v>
      </c>
      <c r="C25" s="18">
        <f>B26-0.1</f>
        <v>58</v>
      </c>
      <c r="D25" s="19">
        <f>(B25-B26)*F25+D26</f>
        <v>-0.2</v>
      </c>
      <c r="E25" s="17">
        <f>D26+(C25-B26)*F25</f>
        <v>-1.0000000000000142E-2</v>
      </c>
      <c r="F25" s="17">
        <v>0.1</v>
      </c>
    </row>
    <row r="26" spans="1:10" x14ac:dyDescent="0.25">
      <c r="B26" s="17">
        <v>58.1</v>
      </c>
      <c r="C26" s="18">
        <v>62.1</v>
      </c>
      <c r="D26" s="19">
        <v>0</v>
      </c>
      <c r="E26" s="17">
        <f>(C26-B26)*F26</f>
        <v>0.4</v>
      </c>
      <c r="F26" s="17">
        <v>0.1</v>
      </c>
    </row>
    <row r="27" spans="1:10" x14ac:dyDescent="0.25">
      <c r="B27" s="17">
        <v>62.2</v>
      </c>
      <c r="C27" s="20">
        <v>65</v>
      </c>
      <c r="D27" s="20">
        <v>0.4</v>
      </c>
      <c r="E27" s="20">
        <v>0.4</v>
      </c>
      <c r="F27" s="17">
        <v>0</v>
      </c>
    </row>
    <row r="30" spans="1:10" x14ac:dyDescent="0.25">
      <c r="A30" s="2" t="s">
        <v>33</v>
      </c>
    </row>
    <row r="31" spans="1:10" x14ac:dyDescent="0.25">
      <c r="B31" t="s">
        <v>34</v>
      </c>
      <c r="E31" t="s">
        <v>35</v>
      </c>
    </row>
    <row r="32" spans="1:10" x14ac:dyDescent="0.25">
      <c r="B32" t="s">
        <v>36</v>
      </c>
      <c r="E32" t="s">
        <v>37</v>
      </c>
      <c r="H32" t="s">
        <v>38</v>
      </c>
      <c r="J32" t="s">
        <v>39</v>
      </c>
    </row>
    <row r="33" spans="2:10" x14ac:dyDescent="0.25">
      <c r="B33">
        <f>IF(B42&lt;=B43,B42*2.3677 + 2.8512,B43*2.3677+2.8512)</f>
        <v>18.951560000000001</v>
      </c>
      <c r="E33">
        <f>IF(C42&lt;=C43,C42*2.3677 + 2.8512,C43*2.3677+2.8512)</f>
        <v>19.89864</v>
      </c>
      <c r="H33">
        <f>+'Digitalt management værktøj'!C5</f>
        <v>2.97</v>
      </c>
      <c r="J33" s="8">
        <f>G40</f>
        <v>2.9451762915559465</v>
      </c>
    </row>
    <row r="34" spans="2:10" x14ac:dyDescent="0.25">
      <c r="B34" t="s">
        <v>40</v>
      </c>
      <c r="E34" t="s">
        <v>41</v>
      </c>
      <c r="J34" t="s">
        <v>42</v>
      </c>
    </row>
    <row r="35" spans="2:10" x14ac:dyDescent="0.25">
      <c r="B35">
        <f>IF(B42&lt;=B43,B42*'Digitalt management værktøj'!C5,B43*'Digitalt management værktøj'!C5)</f>
        <v>20.196000000000002</v>
      </c>
      <c r="E35" s="6">
        <f>E33*100/B37</f>
        <v>21.205269299202815</v>
      </c>
    </row>
    <row r="36" spans="2:10" x14ac:dyDescent="0.25">
      <c r="B36" t="s">
        <v>43</v>
      </c>
    </row>
    <row r="37" spans="2:10" x14ac:dyDescent="0.25">
      <c r="B37">
        <f>+B33*100/B35</f>
        <v>93.838185779362234</v>
      </c>
      <c r="C37" t="s">
        <v>44</v>
      </c>
    </row>
    <row r="39" spans="2:10" x14ac:dyDescent="0.25">
      <c r="B39" t="s">
        <v>45</v>
      </c>
      <c r="G39">
        <f>+(E33*100/B37)/C43</f>
        <v>2.9451762915559465</v>
      </c>
      <c r="H39" t="s">
        <v>46</v>
      </c>
    </row>
    <row r="40" spans="2:10" x14ac:dyDescent="0.25">
      <c r="B40" t="b">
        <f>+'Digitalt management værktøj'!E17/'Digitalt management værktøj'!E16 &gt;=0.3</f>
        <v>1</v>
      </c>
      <c r="G40">
        <f>IF(C42&gt;C43,G42/C43,G42/C42)</f>
        <v>2.9451762915559465</v>
      </c>
      <c r="H40" t="s">
        <v>47</v>
      </c>
    </row>
    <row r="41" spans="2:10" x14ac:dyDescent="0.25">
      <c r="B41" t="s">
        <v>48</v>
      </c>
    </row>
    <row r="42" spans="2:10" x14ac:dyDescent="0.25">
      <c r="B42">
        <f>'Digitalt management værktøj'!C17 *3.3333</f>
        <v>6.99993</v>
      </c>
      <c r="C42">
        <f>'Digitalt management værktøj'!E17*3.3333</f>
        <v>7.6665899999999993</v>
      </c>
      <c r="D42" t="s">
        <v>49</v>
      </c>
      <c r="G42">
        <f>IF(E35&gt;=17,E35,17)</f>
        <v>21.205269299202815</v>
      </c>
      <c r="H42" t="s">
        <v>50</v>
      </c>
    </row>
    <row r="43" spans="2:10" x14ac:dyDescent="0.25">
      <c r="B43">
        <f>'Digitalt management værktøj'!C16</f>
        <v>6.8</v>
      </c>
      <c r="C43">
        <f>'Digitalt management værktøj'!E16</f>
        <v>7.2</v>
      </c>
      <c r="D43" t="s">
        <v>51</v>
      </c>
    </row>
    <row r="44" spans="2:10" x14ac:dyDescent="0.25">
      <c r="B44" s="7" t="s">
        <v>52</v>
      </c>
      <c r="C44" s="7" t="s">
        <v>53</v>
      </c>
    </row>
    <row r="49" spans="1:5" x14ac:dyDescent="0.25">
      <c r="A49" s="2" t="s">
        <v>54</v>
      </c>
    </row>
    <row r="51" spans="1:5" x14ac:dyDescent="0.25">
      <c r="B51" t="s">
        <v>55</v>
      </c>
    </row>
    <row r="52" spans="1:5" x14ac:dyDescent="0.25">
      <c r="B52" t="s">
        <v>56</v>
      </c>
    </row>
    <row r="54" spans="1:5" x14ac:dyDescent="0.25">
      <c r="B54" t="s">
        <v>57</v>
      </c>
    </row>
    <row r="56" spans="1:5" x14ac:dyDescent="0.25">
      <c r="A56" s="2" t="s">
        <v>58</v>
      </c>
    </row>
    <row r="57" spans="1:5" x14ac:dyDescent="0.25">
      <c r="B57" t="s">
        <v>59</v>
      </c>
    </row>
    <row r="58" spans="1:5" x14ac:dyDescent="0.25">
      <c r="B58" t="s">
        <v>60</v>
      </c>
    </row>
    <row r="59" spans="1:5" x14ac:dyDescent="0.25">
      <c r="B59" t="s">
        <v>61</v>
      </c>
    </row>
    <row r="61" spans="1:5" x14ac:dyDescent="0.25">
      <c r="A61" t="s">
        <v>62</v>
      </c>
      <c r="C61">
        <f>IF($B$42&lt;=$B$43,($B$42*45.705 + 713.78),($B$43*45.705+713.78))</f>
        <v>1024.5740000000001</v>
      </c>
      <c r="E61">
        <f>IF($C$42&lt;=$C$43,($C$42*45.705 + 713.78),($C$43*45.705+713.78))</f>
        <v>1042.856</v>
      </c>
    </row>
    <row r="62" spans="1:5" x14ac:dyDescent="0.25">
      <c r="C62" t="s">
        <v>52</v>
      </c>
      <c r="E62" s="7" t="s">
        <v>53</v>
      </c>
    </row>
    <row r="65" spans="1:10" s="2" customFormat="1" x14ac:dyDescent="0.25">
      <c r="A65" s="2" t="s">
        <v>63</v>
      </c>
    </row>
    <row r="67" spans="1:10" x14ac:dyDescent="0.25">
      <c r="B67" s="10" t="s">
        <v>64</v>
      </c>
      <c r="C67" s="10"/>
      <c r="D67" s="10">
        <v>56</v>
      </c>
      <c r="E67" s="10">
        <v>57</v>
      </c>
      <c r="F67" s="10">
        <v>58</v>
      </c>
      <c r="G67" s="10">
        <v>59</v>
      </c>
      <c r="H67" s="10">
        <v>60</v>
      </c>
      <c r="I67" s="10">
        <v>61</v>
      </c>
    </row>
    <row r="68" spans="1:10" x14ac:dyDescent="0.25">
      <c r="B68" s="10" t="s">
        <v>65</v>
      </c>
      <c r="C68" s="10"/>
      <c r="D68" s="10">
        <v>23.8</v>
      </c>
      <c r="E68" s="10">
        <v>14.8</v>
      </c>
      <c r="F68" s="10">
        <v>7.8</v>
      </c>
      <c r="G68" s="10">
        <v>3.15</v>
      </c>
      <c r="H68" s="10">
        <v>0.5</v>
      </c>
      <c r="I68" s="10">
        <v>0</v>
      </c>
      <c r="J68" t="s">
        <v>66</v>
      </c>
    </row>
    <row r="69" spans="1:10" x14ac:dyDescent="0.25">
      <c r="B69" t="s">
        <v>67</v>
      </c>
    </row>
    <row r="85" spans="1:9" x14ac:dyDescent="0.25">
      <c r="B85" t="s">
        <v>68</v>
      </c>
      <c r="D85" t="s">
        <v>69</v>
      </c>
      <c r="E85">
        <f>1.0696*('Digitalt management værktøj'!$C$7*'Digitalt management værktøj'!$C$7) - 'Digitalt management værktøj'!$C$7*129.91 +3944.2</f>
        <v>3.1680160000005344</v>
      </c>
    </row>
    <row r="86" spans="1:9" x14ac:dyDescent="0.25">
      <c r="D86" t="s">
        <v>53</v>
      </c>
      <c r="E86">
        <f>1.0696*(('Digitalt management værktøj'!$C$7+K10)*('Digitalt management værktøj'!$C$7+K10)) - ('Digitalt management værktøj'!$C$7+K10)*129.91 +3944.2</f>
        <v>2.5756005961352457</v>
      </c>
    </row>
    <row r="89" spans="1:9" s="2" customFormat="1" x14ac:dyDescent="0.25">
      <c r="A89" s="2" t="s">
        <v>70</v>
      </c>
    </row>
    <row r="90" spans="1:9" x14ac:dyDescent="0.25">
      <c r="A90" t="s">
        <v>71</v>
      </c>
    </row>
    <row r="91" spans="1:9" x14ac:dyDescent="0.25">
      <c r="B91" t="s">
        <v>72</v>
      </c>
    </row>
    <row r="92" spans="1:9" x14ac:dyDescent="0.25">
      <c r="B92" t="s">
        <v>73</v>
      </c>
      <c r="F92" t="s">
        <v>74</v>
      </c>
    </row>
    <row r="93" spans="1:9" x14ac:dyDescent="0.25">
      <c r="B93" t="s">
        <v>75</v>
      </c>
    </row>
    <row r="94" spans="1:9" x14ac:dyDescent="0.25">
      <c r="H94" t="s">
        <v>76</v>
      </c>
      <c r="I94" t="s">
        <v>77</v>
      </c>
    </row>
    <row r="95" spans="1:9" x14ac:dyDescent="0.25">
      <c r="D95" t="s">
        <v>78</v>
      </c>
      <c r="E95">
        <v>8</v>
      </c>
      <c r="F95">
        <v>120</v>
      </c>
      <c r="H95">
        <f>E95/F95*100</f>
        <v>6.666666666666667</v>
      </c>
      <c r="I95">
        <v>100</v>
      </c>
    </row>
    <row r="96" spans="1:9" x14ac:dyDescent="0.25">
      <c r="E96">
        <v>8</v>
      </c>
      <c r="F96">
        <v>130</v>
      </c>
      <c r="H96">
        <f>E96/F96*100</f>
        <v>6.1538461538461542</v>
      </c>
      <c r="I96" s="9">
        <f>H96/$H$95*100</f>
        <v>92.307692307692307</v>
      </c>
    </row>
    <row r="97" spans="1:9" x14ac:dyDescent="0.25">
      <c r="E97">
        <v>8.5</v>
      </c>
      <c r="F97">
        <v>130</v>
      </c>
      <c r="H97">
        <f>E97/F97*100</f>
        <v>6.5384615384615392</v>
      </c>
      <c r="I97" s="9">
        <f>H97/$H$95*100</f>
        <v>98.07692307692308</v>
      </c>
    </row>
    <row r="99" spans="1:9" x14ac:dyDescent="0.25">
      <c r="A99" s="10"/>
      <c r="B99" s="10"/>
      <c r="C99" s="11" t="s">
        <v>79</v>
      </c>
      <c r="D99" s="11" t="s">
        <v>53</v>
      </c>
      <c r="E99" s="11" t="s">
        <v>80</v>
      </c>
    </row>
    <row r="100" spans="1:9" x14ac:dyDescent="0.25">
      <c r="A100" s="10" t="s">
        <v>81</v>
      </c>
      <c r="B100" s="10" t="s">
        <v>82</v>
      </c>
      <c r="C100" s="12">
        <f>('Digitalt management værktøj'!C13*10)*100/'Digitalt management værktøj'!C14</f>
        <v>152.88461538461539</v>
      </c>
      <c r="D100" s="12">
        <f>('Digitalt management værktøj'!E13*10)*100/'Digitalt management værktøj'!E14</f>
        <v>160.19417475728156</v>
      </c>
      <c r="E100" s="12">
        <f>D100-C100</f>
        <v>7.3095593726661718</v>
      </c>
    </row>
    <row r="101" spans="1:9" x14ac:dyDescent="0.25">
      <c r="A101" s="10" t="s">
        <v>83</v>
      </c>
      <c r="B101" s="10" t="s">
        <v>84</v>
      </c>
      <c r="C101" s="12">
        <f>'Digitalt management værktøj'!C15</f>
        <v>128</v>
      </c>
      <c r="D101" s="12">
        <f>'Digitalt management værktøj'!E15</f>
        <v>133</v>
      </c>
      <c r="E101" s="12">
        <f>D101-C101</f>
        <v>5</v>
      </c>
    </row>
    <row r="102" spans="1:9" x14ac:dyDescent="0.25">
      <c r="A102" s="10" t="s">
        <v>85</v>
      </c>
      <c r="B102" s="10" t="s">
        <v>84</v>
      </c>
      <c r="C102" s="12">
        <f>'Digitalt management værktøj'!C16</f>
        <v>6.8</v>
      </c>
      <c r="D102" s="12">
        <f>'Digitalt management værktøj'!E16</f>
        <v>7.2</v>
      </c>
      <c r="E102" s="12">
        <f>D102-C102</f>
        <v>0.40000000000000036</v>
      </c>
    </row>
    <row r="103" spans="1:9" x14ac:dyDescent="0.25">
      <c r="A103" s="10"/>
      <c r="B103" s="10"/>
      <c r="C103" s="10"/>
      <c r="D103" s="10"/>
      <c r="E103" s="10"/>
    </row>
    <row r="104" spans="1:9" x14ac:dyDescent="0.25">
      <c r="A104" s="10" t="s">
        <v>86</v>
      </c>
      <c r="B104" s="10"/>
      <c r="C104" s="13">
        <f>C101/C100*100</f>
        <v>83.723270440251568</v>
      </c>
      <c r="D104" s="13">
        <f>D101/D100*100</f>
        <v>83.024242424242416</v>
      </c>
      <c r="E104" s="13">
        <f>D104-C104</f>
        <v>-0.69902801600915154</v>
      </c>
      <c r="F104" t="s">
        <v>87</v>
      </c>
      <c r="I104" t="s">
        <v>88</v>
      </c>
    </row>
    <row r="105" spans="1:9" x14ac:dyDescent="0.25">
      <c r="A105" s="10" t="s">
        <v>89</v>
      </c>
      <c r="B105" s="10"/>
      <c r="C105" s="13">
        <f>C102/C101*100</f>
        <v>5.3125</v>
      </c>
      <c r="D105" s="13">
        <f>D102/D101*100</f>
        <v>5.4135338345864659</v>
      </c>
      <c r="E105" s="13">
        <f>D105-C105</f>
        <v>0.10103383458646586</v>
      </c>
      <c r="F105" t="s">
        <v>90</v>
      </c>
    </row>
    <row r="108" spans="1:9" s="2" customFormat="1" x14ac:dyDescent="0.25">
      <c r="A108" s="2" t="s">
        <v>91</v>
      </c>
    </row>
    <row r="110" spans="1:9" x14ac:dyDescent="0.25">
      <c r="B110" t="s">
        <v>92</v>
      </c>
    </row>
    <row r="111" spans="1:9" x14ac:dyDescent="0.25">
      <c r="B111" t="s">
        <v>93</v>
      </c>
    </row>
    <row r="113" spans="2:10" x14ac:dyDescent="0.25">
      <c r="B113" t="s">
        <v>94</v>
      </c>
    </row>
    <row r="115" spans="2:10" x14ac:dyDescent="0.25">
      <c r="J115" t="s">
        <v>95</v>
      </c>
    </row>
    <row r="116" spans="2:10" x14ac:dyDescent="0.25">
      <c r="J116" t="s">
        <v>96</v>
      </c>
    </row>
    <row r="133" spans="3:9" x14ac:dyDescent="0.25">
      <c r="C133" t="s">
        <v>97</v>
      </c>
      <c r="D133" t="s">
        <v>98</v>
      </c>
      <c r="E133" t="s">
        <v>99</v>
      </c>
    </row>
    <row r="134" spans="3:9" x14ac:dyDescent="0.25">
      <c r="C134" t="s">
        <v>100</v>
      </c>
      <c r="D134">
        <f>'Digitalt management værktøj'!C15</f>
        <v>128</v>
      </c>
      <c r="E134">
        <f>'Digitalt management værktøj'!E15</f>
        <v>133</v>
      </c>
    </row>
    <row r="135" spans="3:9" x14ac:dyDescent="0.25">
      <c r="D135">
        <f>LN(D134)</f>
        <v>4.8520302639196169</v>
      </c>
      <c r="E135">
        <f>LN(E134)</f>
        <v>4.8903491282217537</v>
      </c>
    </row>
    <row r="136" spans="3:9" x14ac:dyDescent="0.25">
      <c r="C136" t="s">
        <v>101</v>
      </c>
      <c r="D136">
        <f>3.8708*D135+39.796</f>
        <v>58.577238745580054</v>
      </c>
      <c r="E136">
        <f>3.8708*E135 +39.796</f>
        <v>58.725563405520759</v>
      </c>
      <c r="F136" s="21">
        <f>E136-D136</f>
        <v>0.14832465994070532</v>
      </c>
      <c r="G136" s="22" t="s">
        <v>102</v>
      </c>
      <c r="H136" s="22"/>
      <c r="I136" s="23"/>
    </row>
    <row r="146" spans="1:8" s="2" customFormat="1" x14ac:dyDescent="0.25">
      <c r="A146" s="2" t="s">
        <v>103</v>
      </c>
    </row>
    <row r="148" spans="1:8" x14ac:dyDescent="0.25">
      <c r="B148" t="s">
        <v>104</v>
      </c>
    </row>
    <row r="150" spans="1:8" x14ac:dyDescent="0.25">
      <c r="B150" t="s">
        <v>105</v>
      </c>
      <c r="C150">
        <v>0</v>
      </c>
      <c r="D150">
        <v>10</v>
      </c>
      <c r="E150">
        <v>20</v>
      </c>
      <c r="G150" t="s">
        <v>106</v>
      </c>
    </row>
    <row r="151" spans="1:8" x14ac:dyDescent="0.25">
      <c r="B151" t="s">
        <v>107</v>
      </c>
      <c r="C151">
        <v>947</v>
      </c>
      <c r="D151">
        <v>-28</v>
      </c>
      <c r="E151">
        <v>-64</v>
      </c>
      <c r="G151">
        <v>-30</v>
      </c>
      <c r="H151" t="s">
        <v>108</v>
      </c>
    </row>
    <row r="152" spans="1:8" x14ac:dyDescent="0.25">
      <c r="B152" t="s">
        <v>109</v>
      </c>
      <c r="C152">
        <v>2.75</v>
      </c>
      <c r="D152">
        <v>0.04</v>
      </c>
      <c r="E152">
        <v>0.08</v>
      </c>
      <c r="G152">
        <v>0.04</v>
      </c>
      <c r="H152" t="s">
        <v>110</v>
      </c>
    </row>
    <row r="154" spans="1:8" x14ac:dyDescent="0.25">
      <c r="B154" t="s">
        <v>111</v>
      </c>
      <c r="C154">
        <v>0</v>
      </c>
      <c r="D154">
        <v>10</v>
      </c>
      <c r="E154">
        <v>20</v>
      </c>
    </row>
    <row r="155" spans="1:8" x14ac:dyDescent="0.25">
      <c r="B155" t="s">
        <v>112</v>
      </c>
      <c r="C155">
        <v>947</v>
      </c>
      <c r="D155">
        <v>-25</v>
      </c>
      <c r="E155">
        <v>-45</v>
      </c>
      <c r="G155">
        <v>-20</v>
      </c>
      <c r="H155" t="s">
        <v>113</v>
      </c>
    </row>
    <row r="156" spans="1:8" x14ac:dyDescent="0.25">
      <c r="B156" t="s">
        <v>114</v>
      </c>
      <c r="C156">
        <v>2.75</v>
      </c>
      <c r="D156">
        <v>0.06</v>
      </c>
      <c r="E156">
        <v>0.03</v>
      </c>
      <c r="G156">
        <v>0.01</v>
      </c>
      <c r="H156" t="s">
        <v>115</v>
      </c>
    </row>
    <row r="158" spans="1:8" x14ac:dyDescent="0.25">
      <c r="B158" t="s">
        <v>116</v>
      </c>
      <c r="C158">
        <v>0</v>
      </c>
      <c r="D158" s="14" t="s">
        <v>117</v>
      </c>
    </row>
    <row r="159" spans="1:8" x14ac:dyDescent="0.25">
      <c r="C159">
        <v>947</v>
      </c>
      <c r="D159">
        <v>-43</v>
      </c>
    </row>
    <row r="160" spans="1:8" x14ac:dyDescent="0.25">
      <c r="C160">
        <v>2.75</v>
      </c>
      <c r="D160">
        <v>2.77</v>
      </c>
    </row>
    <row r="162" spans="1:7" x14ac:dyDescent="0.25">
      <c r="C162" t="s">
        <v>118</v>
      </c>
      <c r="E162" t="s">
        <v>53</v>
      </c>
      <c r="F162" t="s">
        <v>119</v>
      </c>
    </row>
    <row r="163" spans="1:7" ht="86.45" customHeight="1" x14ac:dyDescent="0.25">
      <c r="A163" s="34" t="s">
        <v>120</v>
      </c>
    </row>
    <row r="164" spans="1:7" x14ac:dyDescent="0.25">
      <c r="B164" t="s">
        <v>105</v>
      </c>
      <c r="C164">
        <f>IF('Digitalt management værktøj'!C20&gt;4.9,('Digitalt management værktøj'!C20/10)*G151,0)</f>
        <v>0</v>
      </c>
      <c r="E164">
        <f>IF('Digitalt management værktøj'!E20&gt;4.9,(('Digitalt management værktøj'!E20-'Digitalt management værktøj'!C20)/10)*G151,0)</f>
        <v>0</v>
      </c>
      <c r="F164">
        <f>E164-C164</f>
        <v>0</v>
      </c>
    </row>
    <row r="165" spans="1:7" x14ac:dyDescent="0.25">
      <c r="B165" t="s">
        <v>111</v>
      </c>
      <c r="C165">
        <f>IF('Digitalt management værktøj'!C21&gt;4.9,('Digitalt management værktøj'!C21/10)*G155,0)</f>
        <v>0</v>
      </c>
      <c r="E165">
        <f>IF('Digitalt management værktøj'!E21&gt;4.9,(('Digitalt management værktøj'!E21-'Digitalt management værktøj'!C21)/10)*G155,0)</f>
        <v>0</v>
      </c>
      <c r="F165">
        <f>E165-C165</f>
        <v>0</v>
      </c>
    </row>
    <row r="166" spans="1:7" x14ac:dyDescent="0.25">
      <c r="A166" s="15" t="s">
        <v>121</v>
      </c>
      <c r="B166" s="15"/>
      <c r="C166" s="15"/>
      <c r="D166" s="15"/>
      <c r="E166" s="15"/>
      <c r="F166" s="15">
        <f>SUM(F164:F165)</f>
        <v>0</v>
      </c>
      <c r="G166" t="s">
        <v>122</v>
      </c>
    </row>
    <row r="167" spans="1:7" x14ac:dyDescent="0.25">
      <c r="A167" t="s">
        <v>123</v>
      </c>
    </row>
    <row r="168" spans="1:7" x14ac:dyDescent="0.25">
      <c r="B168" t="s">
        <v>105</v>
      </c>
      <c r="C168">
        <f>IF('Digitalt management værktøj'!C20&gt;4.9,('Digitalt management værktøj'!C20/10)*G152,0)</f>
        <v>0</v>
      </c>
      <c r="E168">
        <f>IF('Digitalt management værktøj'!E20&gt;4.9,(('Digitalt management værktøj'!E20-'Digitalt management værktøj'!C20)/10)*G152,0)</f>
        <v>0</v>
      </c>
      <c r="F168">
        <f>E168-C168</f>
        <v>0</v>
      </c>
    </row>
    <row r="169" spans="1:7" x14ac:dyDescent="0.25">
      <c r="B169" t="s">
        <v>111</v>
      </c>
      <c r="C169">
        <f>IF('Digitalt management værktøj'!C21&gt;4.9,('Digitalt management værktøj'!C21/10)*G156,0)</f>
        <v>0</v>
      </c>
      <c r="E169">
        <f>IF('Digitalt management værktøj'!E21&gt;4.9,(('Digitalt management værktøj'!E21-'Digitalt management værktøj'!C21)/10)*G156,0)</f>
        <v>0</v>
      </c>
      <c r="F169">
        <f>E169-C169</f>
        <v>0</v>
      </c>
    </row>
    <row r="170" spans="1:7" x14ac:dyDescent="0.25">
      <c r="A170" s="15" t="s">
        <v>124</v>
      </c>
      <c r="B170" s="15"/>
      <c r="C170" s="15"/>
      <c r="D170" s="15"/>
      <c r="E170" s="15"/>
      <c r="F170" s="15">
        <f>SUM(F168:F169)</f>
        <v>0</v>
      </c>
      <c r="G170" t="s">
        <v>125</v>
      </c>
    </row>
    <row r="175" spans="1:7" s="2" customFormat="1" x14ac:dyDescent="0.25">
      <c r="A175" s="2" t="s">
        <v>126</v>
      </c>
    </row>
    <row r="176" spans="1:7" x14ac:dyDescent="0.25">
      <c r="B176" t="s">
        <v>127</v>
      </c>
    </row>
    <row r="178" spans="1:10" x14ac:dyDescent="0.25">
      <c r="B178" t="s">
        <v>128</v>
      </c>
      <c r="C178" t="s">
        <v>129</v>
      </c>
      <c r="D178" t="s">
        <v>130</v>
      </c>
      <c r="E178" t="s">
        <v>131</v>
      </c>
      <c r="F178" t="s">
        <v>132</v>
      </c>
    </row>
    <row r="179" spans="1:10" x14ac:dyDescent="0.25">
      <c r="B179">
        <f>'Digitalt management værktøj'!C9*1.31</f>
        <v>120.52000000000001</v>
      </c>
      <c r="C179">
        <f>'Digitalt management værktøj'!C8</f>
        <v>30</v>
      </c>
      <c r="D179">
        <f>'Digitalt management værktøj'!C6</f>
        <v>1005</v>
      </c>
      <c r="E179">
        <f>(B179-C179)/(D179/1000)</f>
        <v>90.069651741293555</v>
      </c>
      <c r="F179">
        <v>7</v>
      </c>
      <c r="G179">
        <f>E179+F179</f>
        <v>97.069651741293555</v>
      </c>
      <c r="I179">
        <f>365/G179</f>
        <v>3.7601865614268863</v>
      </c>
      <c r="J179" t="s">
        <v>133</v>
      </c>
    </row>
    <row r="180" spans="1:10" x14ac:dyDescent="0.25">
      <c r="D180">
        <f>K8</f>
        <v>12.281999999999925</v>
      </c>
      <c r="E180">
        <f>(B179-C179)/((D179+D180)/1000)</f>
        <v>88.982209456178339</v>
      </c>
      <c r="G180">
        <f>E180+F179</f>
        <v>95.982209456178339</v>
      </c>
      <c r="I180">
        <f>365/G180</f>
        <v>3.8027880590375918</v>
      </c>
      <c r="J180" t="s">
        <v>133</v>
      </c>
    </row>
    <row r="181" spans="1:10" x14ac:dyDescent="0.25">
      <c r="B181" t="s">
        <v>134</v>
      </c>
      <c r="I181">
        <f>I180-I179</f>
        <v>4.2601497610705419E-2</v>
      </c>
      <c r="J181" t="s">
        <v>135</v>
      </c>
    </row>
    <row r="184" spans="1:10" x14ac:dyDescent="0.25">
      <c r="B184" t="s">
        <v>136</v>
      </c>
    </row>
    <row r="186" spans="1:10" x14ac:dyDescent="0.25">
      <c r="C186" t="s">
        <v>137</v>
      </c>
      <c r="D186">
        <f>'Digitalt management værktøj'!C10</f>
        <v>450</v>
      </c>
      <c r="E186" t="s">
        <v>138</v>
      </c>
    </row>
    <row r="189" spans="1:10" x14ac:dyDescent="0.25">
      <c r="A189" t="s">
        <v>139</v>
      </c>
      <c r="B189" t="s">
        <v>140</v>
      </c>
    </row>
  </sheetData>
  <sheetProtection algorithmName="SHA-512" hashValue="QEQ8b1SjkNTZlM+1nciTICI7wa0U2R6vx2xM+nZR5tXLZJcWUPes7Z0s4mXyJRwbGBP/mjQrkcfSKKVvNGaS/Q==" saltValue="3+YF9VfWESRw3DD4LW1lkA==" spinCount="100000" sheet="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3">
    <pageSetUpPr fitToPage="1"/>
  </sheetPr>
  <dimension ref="A1:S39"/>
  <sheetViews>
    <sheetView view="pageBreakPreview" topLeftCell="A12" zoomScale="106" zoomScaleNormal="80" zoomScaleSheetLayoutView="106" workbookViewId="0">
      <selection activeCell="K37" sqref="K37:M39"/>
    </sheetView>
  </sheetViews>
  <sheetFormatPr defaultRowHeight="15" x14ac:dyDescent="0.25"/>
  <cols>
    <col min="1" max="1" width="10.140625" style="16" customWidth="1"/>
    <col min="2" max="2" width="24.140625" customWidth="1"/>
    <col min="4" max="4" width="30" customWidth="1"/>
    <col min="9" max="9" width="13.7109375" customWidth="1"/>
    <col min="10" max="10" width="6.28515625" customWidth="1"/>
    <col min="12" max="12" width="19.5703125" customWidth="1"/>
    <col min="13" max="13" width="13.7109375" bestFit="1" customWidth="1"/>
    <col min="14" max="14" width="25" customWidth="1"/>
    <col min="17" max="17" width="12.42578125" customWidth="1"/>
  </cols>
  <sheetData>
    <row r="1" spans="1:18" s="24" customFormat="1" ht="21" customHeight="1" x14ac:dyDescent="0.35">
      <c r="A1" s="80" t="s">
        <v>141</v>
      </c>
      <c r="B1" s="81"/>
      <c r="C1" s="81"/>
      <c r="D1" s="81"/>
      <c r="E1" s="81"/>
      <c r="F1" s="81"/>
      <c r="G1" s="81"/>
      <c r="H1" s="81"/>
      <c r="I1" s="81"/>
      <c r="J1" s="81"/>
      <c r="K1" s="81"/>
      <c r="L1" s="81"/>
      <c r="M1" s="81"/>
      <c r="N1" s="81"/>
      <c r="O1" s="81"/>
      <c r="P1" s="81"/>
      <c r="Q1" s="81"/>
      <c r="R1" s="81"/>
    </row>
    <row r="2" spans="1:18" ht="15" customHeight="1" thickBot="1" x14ac:dyDescent="0.3">
      <c r="A2" s="35"/>
      <c r="B2" s="36"/>
      <c r="C2" s="36"/>
      <c r="D2" s="36"/>
      <c r="E2" s="36"/>
      <c r="F2" s="36"/>
      <c r="G2" s="36"/>
      <c r="H2" s="36"/>
      <c r="I2" s="36"/>
      <c r="J2" s="36"/>
      <c r="K2" s="36"/>
      <c r="L2" s="36"/>
      <c r="M2" s="36"/>
      <c r="N2" s="36"/>
      <c r="O2" s="36"/>
      <c r="P2" s="36"/>
      <c r="Q2" s="36"/>
      <c r="R2" s="36"/>
    </row>
    <row r="3" spans="1:18" ht="17.45" customHeight="1" x14ac:dyDescent="0.25">
      <c r="A3" s="35"/>
      <c r="B3" s="68" t="s">
        <v>142</v>
      </c>
      <c r="C3" s="69"/>
      <c r="D3" s="39"/>
      <c r="E3" s="39"/>
      <c r="F3" s="39"/>
      <c r="G3" s="39"/>
      <c r="H3" s="39"/>
      <c r="I3" s="40" t="s">
        <v>143</v>
      </c>
      <c r="J3" s="41"/>
      <c r="K3" s="41"/>
      <c r="L3" s="41"/>
      <c r="M3" s="41"/>
      <c r="N3" s="42"/>
      <c r="O3" s="39"/>
      <c r="P3" s="39"/>
      <c r="Q3" s="39"/>
      <c r="R3" s="36"/>
    </row>
    <row r="4" spans="1:18" x14ac:dyDescent="0.25">
      <c r="A4" s="35"/>
      <c r="B4" s="70" t="s">
        <v>144</v>
      </c>
      <c r="C4" s="70"/>
      <c r="D4" s="70"/>
      <c r="E4" s="70"/>
      <c r="F4" s="70"/>
      <c r="G4" s="43"/>
      <c r="H4" s="39"/>
      <c r="I4" s="44"/>
      <c r="J4" s="39"/>
      <c r="K4" s="45" t="s">
        <v>145</v>
      </c>
      <c r="L4" s="46"/>
      <c r="M4" s="45" t="s">
        <v>146</v>
      </c>
      <c r="N4" s="47"/>
      <c r="O4" s="39"/>
      <c r="P4" s="39"/>
      <c r="Q4" s="39"/>
      <c r="R4" s="36"/>
    </row>
    <row r="5" spans="1:18" x14ac:dyDescent="0.25">
      <c r="A5" s="35" t="s">
        <v>147</v>
      </c>
      <c r="B5" s="39" t="s">
        <v>148</v>
      </c>
      <c r="C5" s="78">
        <v>2.97</v>
      </c>
      <c r="D5" s="39" t="s">
        <v>149</v>
      </c>
      <c r="E5" s="39"/>
      <c r="F5" s="39"/>
      <c r="G5" s="39"/>
      <c r="H5" s="39"/>
      <c r="I5" s="44"/>
      <c r="J5" s="39"/>
      <c r="K5" s="46"/>
      <c r="L5" s="46"/>
      <c r="M5" s="45" t="s">
        <v>150</v>
      </c>
      <c r="N5" s="47"/>
      <c r="O5" s="39"/>
      <c r="P5" s="39"/>
      <c r="Q5" s="39"/>
      <c r="R5" s="36"/>
    </row>
    <row r="6" spans="1:18" x14ac:dyDescent="0.25">
      <c r="A6" s="35" t="s">
        <v>147</v>
      </c>
      <c r="B6" s="39" t="s">
        <v>151</v>
      </c>
      <c r="C6" s="78">
        <v>1005</v>
      </c>
      <c r="D6" s="39" t="s">
        <v>152</v>
      </c>
      <c r="E6" s="39"/>
      <c r="F6" s="39"/>
      <c r="G6" s="39"/>
      <c r="H6" s="39"/>
      <c r="I6" s="62" t="s">
        <v>148</v>
      </c>
      <c r="J6" s="43"/>
      <c r="K6" s="63">
        <f>+C5</f>
        <v>2.97</v>
      </c>
      <c r="L6" s="64"/>
      <c r="M6" s="63">
        <f>+K6+Beregning!M6</f>
        <v>2.9369174769781492</v>
      </c>
      <c r="N6" s="65" t="s">
        <v>153</v>
      </c>
      <c r="O6" s="39"/>
      <c r="P6" s="39"/>
      <c r="Q6" s="39"/>
      <c r="R6" s="36"/>
    </row>
    <row r="7" spans="1:18" x14ac:dyDescent="0.25">
      <c r="A7" s="35" t="s">
        <v>147</v>
      </c>
      <c r="B7" s="39" t="s">
        <v>154</v>
      </c>
      <c r="C7" s="78">
        <v>58.9</v>
      </c>
      <c r="D7" s="39" t="s">
        <v>155</v>
      </c>
      <c r="E7" s="39"/>
      <c r="F7" s="39"/>
      <c r="G7" s="39"/>
      <c r="H7" s="39"/>
      <c r="I7" s="44" t="s">
        <v>151</v>
      </c>
      <c r="J7" s="39"/>
      <c r="K7" s="46">
        <f>+C6</f>
        <v>1005</v>
      </c>
      <c r="L7" s="46"/>
      <c r="M7" s="49">
        <f>+K7+Beregning!M8</f>
        <v>1014.8255999999999</v>
      </c>
      <c r="N7" s="47" t="s">
        <v>156</v>
      </c>
      <c r="O7" s="39"/>
      <c r="P7" s="39"/>
      <c r="Q7" s="39"/>
      <c r="R7" s="36"/>
    </row>
    <row r="8" spans="1:18" x14ac:dyDescent="0.25">
      <c r="A8" s="35" t="s">
        <v>147</v>
      </c>
      <c r="B8" s="38" t="s">
        <v>157</v>
      </c>
      <c r="C8" s="79">
        <v>30</v>
      </c>
      <c r="D8" s="38" t="s">
        <v>158</v>
      </c>
      <c r="E8" s="39"/>
      <c r="F8" s="39"/>
      <c r="G8" s="39"/>
      <c r="H8" s="39"/>
      <c r="I8" s="62" t="s">
        <v>154</v>
      </c>
      <c r="J8" s="43"/>
      <c r="K8" s="64">
        <f>+C7</f>
        <v>58.9</v>
      </c>
      <c r="L8" s="64"/>
      <c r="M8" s="66">
        <f>+K8+Beregning!M10</f>
        <v>59.097905824925881</v>
      </c>
      <c r="N8" s="65" t="s">
        <v>159</v>
      </c>
      <c r="O8" s="39"/>
      <c r="P8" s="39"/>
      <c r="Q8" s="39"/>
      <c r="R8" s="36"/>
    </row>
    <row r="9" spans="1:18" x14ac:dyDescent="0.25">
      <c r="A9" s="35" t="s">
        <v>147</v>
      </c>
      <c r="B9" s="38" t="s">
        <v>160</v>
      </c>
      <c r="C9" s="79">
        <v>92</v>
      </c>
      <c r="D9" s="38" t="s">
        <v>158</v>
      </c>
      <c r="E9" s="39"/>
      <c r="F9" s="39"/>
      <c r="G9" s="39"/>
      <c r="H9" s="39"/>
      <c r="I9" s="44" t="s">
        <v>233</v>
      </c>
      <c r="J9" s="39"/>
      <c r="K9" s="39"/>
      <c r="L9" s="39"/>
      <c r="M9" s="39"/>
      <c r="N9" s="47"/>
      <c r="O9" s="39"/>
      <c r="P9" s="39"/>
      <c r="Q9" s="39"/>
      <c r="R9" s="36"/>
    </row>
    <row r="10" spans="1:18" x14ac:dyDescent="0.25">
      <c r="A10" s="35" t="s">
        <v>147</v>
      </c>
      <c r="B10" s="39" t="s">
        <v>161</v>
      </c>
      <c r="C10" s="78">
        <v>450</v>
      </c>
      <c r="D10" s="39" t="s">
        <v>162</v>
      </c>
      <c r="E10" s="39"/>
      <c r="F10" s="39"/>
      <c r="G10" s="39"/>
      <c r="H10" s="39"/>
      <c r="I10" s="44"/>
      <c r="J10" s="39"/>
      <c r="K10" s="39"/>
      <c r="L10" s="39"/>
      <c r="M10" s="39"/>
      <c r="N10" s="47"/>
      <c r="O10" s="39"/>
      <c r="P10" s="39"/>
      <c r="Q10" s="39"/>
      <c r="R10" s="36"/>
    </row>
    <row r="11" spans="1:18" x14ac:dyDescent="0.25">
      <c r="A11" s="35"/>
      <c r="B11" s="70" t="s">
        <v>163</v>
      </c>
      <c r="C11" s="70" t="s">
        <v>145</v>
      </c>
      <c r="D11" s="70"/>
      <c r="E11" s="70" t="s">
        <v>164</v>
      </c>
      <c r="F11" s="70"/>
      <c r="G11" s="39"/>
      <c r="H11" s="39"/>
      <c r="I11" s="44"/>
      <c r="J11" s="39"/>
      <c r="K11" s="39"/>
      <c r="L11" s="39"/>
      <c r="M11" s="39"/>
      <c r="N11" s="47"/>
      <c r="O11" s="39"/>
      <c r="P11" s="39"/>
      <c r="Q11" s="39"/>
      <c r="R11" s="36"/>
    </row>
    <row r="12" spans="1:18" x14ac:dyDescent="0.25">
      <c r="A12" s="35" t="s">
        <v>147</v>
      </c>
      <c r="B12" s="38" t="s">
        <v>165</v>
      </c>
      <c r="C12" s="79">
        <v>363</v>
      </c>
      <c r="D12" s="38" t="s">
        <v>166</v>
      </c>
      <c r="E12" s="79">
        <v>340</v>
      </c>
      <c r="F12" s="38" t="s">
        <v>166</v>
      </c>
      <c r="G12" s="39"/>
      <c r="H12" s="39"/>
      <c r="I12" s="44" t="s">
        <v>167</v>
      </c>
      <c r="J12" s="39"/>
      <c r="K12" s="39"/>
      <c r="L12" s="39"/>
      <c r="M12" s="39"/>
      <c r="N12" s="47"/>
      <c r="O12" s="39"/>
      <c r="P12" s="39"/>
      <c r="Q12" s="39"/>
      <c r="R12" s="36"/>
    </row>
    <row r="13" spans="1:18" x14ac:dyDescent="0.25">
      <c r="A13" s="35"/>
      <c r="B13" s="39" t="s">
        <v>168</v>
      </c>
      <c r="C13" s="78">
        <v>15.9</v>
      </c>
      <c r="D13" s="39" t="s">
        <v>155</v>
      </c>
      <c r="E13" s="78">
        <v>16.5</v>
      </c>
      <c r="F13" s="39" t="s">
        <v>155</v>
      </c>
      <c r="G13" s="39"/>
      <c r="H13" s="39"/>
      <c r="I13" s="62"/>
      <c r="J13" s="43"/>
      <c r="K13" s="43"/>
      <c r="L13" s="43"/>
      <c r="M13" s="43"/>
      <c r="N13" s="65"/>
      <c r="O13" s="39"/>
      <c r="P13" s="39"/>
      <c r="Q13" s="39"/>
      <c r="R13" s="36"/>
    </row>
    <row r="14" spans="1:18" x14ac:dyDescent="0.25">
      <c r="A14" s="35" t="s">
        <v>147</v>
      </c>
      <c r="B14" s="38" t="s">
        <v>169</v>
      </c>
      <c r="C14" s="79">
        <v>104</v>
      </c>
      <c r="D14" s="38" t="s">
        <v>170</v>
      </c>
      <c r="E14" s="79">
        <v>103</v>
      </c>
      <c r="F14" s="38" t="s">
        <v>170</v>
      </c>
      <c r="G14" s="39"/>
      <c r="H14" s="39"/>
      <c r="I14" s="44" t="s">
        <v>171</v>
      </c>
      <c r="J14" s="39"/>
      <c r="K14" s="50">
        <f>+C5*(C12/C14)</f>
        <v>10.366442307692308</v>
      </c>
      <c r="L14" s="39"/>
      <c r="M14" s="50">
        <f>+M6*(E12/E14)</f>
        <v>9.6946790502191327</v>
      </c>
      <c r="N14" s="47" t="s">
        <v>172</v>
      </c>
      <c r="O14" s="39"/>
      <c r="P14" s="60"/>
      <c r="Q14" s="39"/>
      <c r="R14" s="36"/>
    </row>
    <row r="15" spans="1:18" x14ac:dyDescent="0.25">
      <c r="A15" s="35" t="s">
        <v>147</v>
      </c>
      <c r="B15" s="38" t="s">
        <v>173</v>
      </c>
      <c r="C15" s="79">
        <v>128</v>
      </c>
      <c r="D15" s="38" t="s">
        <v>174</v>
      </c>
      <c r="E15" s="79">
        <v>133</v>
      </c>
      <c r="F15" s="38" t="s">
        <v>174</v>
      </c>
      <c r="G15" s="39"/>
      <c r="H15" s="39"/>
      <c r="I15" s="62"/>
      <c r="J15" s="43"/>
      <c r="K15" s="43"/>
      <c r="L15" s="67"/>
      <c r="M15" s="67"/>
      <c r="N15" s="65"/>
      <c r="O15" s="39"/>
      <c r="P15" s="39"/>
      <c r="Q15" s="39"/>
      <c r="R15" s="36"/>
    </row>
    <row r="16" spans="1:18" x14ac:dyDescent="0.25">
      <c r="A16" s="35" t="s">
        <v>147</v>
      </c>
      <c r="B16" s="38" t="s">
        <v>175</v>
      </c>
      <c r="C16" s="79">
        <v>6.8</v>
      </c>
      <c r="D16" s="38" t="s">
        <v>174</v>
      </c>
      <c r="E16" s="79">
        <v>7.2</v>
      </c>
      <c r="F16" s="38" t="s">
        <v>174</v>
      </c>
      <c r="G16" s="39"/>
      <c r="H16" s="39"/>
      <c r="I16" s="44" t="s">
        <v>176</v>
      </c>
      <c r="J16" s="39"/>
      <c r="K16" s="39">
        <f>+C24+C25+C26</f>
        <v>27.5</v>
      </c>
      <c r="L16" s="39"/>
      <c r="M16" s="50">
        <f>+K16+M17+M18</f>
        <v>27.535785798396951</v>
      </c>
      <c r="N16" s="47" t="s">
        <v>177</v>
      </c>
      <c r="O16" s="39"/>
      <c r="P16" s="39"/>
      <c r="Q16" s="39"/>
      <c r="R16" s="36"/>
    </row>
    <row r="17" spans="1:18" x14ac:dyDescent="0.25">
      <c r="A17" s="35" t="s">
        <v>147</v>
      </c>
      <c r="B17" s="38" t="s">
        <v>178</v>
      </c>
      <c r="C17" s="79">
        <v>2.1</v>
      </c>
      <c r="D17" s="38" t="s">
        <v>174</v>
      </c>
      <c r="E17" s="79">
        <v>2.2999999999999998</v>
      </c>
      <c r="F17" s="38" t="s">
        <v>174</v>
      </c>
      <c r="G17" s="39"/>
      <c r="H17" s="39"/>
      <c r="I17" s="44" t="s">
        <v>179</v>
      </c>
      <c r="J17" s="39"/>
      <c r="K17" s="39"/>
      <c r="L17" s="39"/>
      <c r="M17" s="50">
        <f>+Beregning!M10*0.1</f>
        <v>1.9790582492588166E-2</v>
      </c>
      <c r="N17" s="47" t="s">
        <v>177</v>
      </c>
      <c r="O17" s="39"/>
      <c r="P17" s="39"/>
      <c r="Q17" s="39"/>
      <c r="R17" s="36"/>
    </row>
    <row r="18" spans="1:18" x14ac:dyDescent="0.25">
      <c r="A18" s="35"/>
      <c r="B18" s="70" t="s">
        <v>180</v>
      </c>
      <c r="C18" s="70"/>
      <c r="D18" s="43"/>
      <c r="E18" s="77" t="s">
        <v>229</v>
      </c>
      <c r="F18" s="43"/>
      <c r="G18" s="39"/>
      <c r="H18" s="39"/>
      <c r="I18" s="44" t="s">
        <v>181</v>
      </c>
      <c r="J18" s="39"/>
      <c r="K18" s="39"/>
      <c r="L18" s="39"/>
      <c r="M18" s="50">
        <f>Beregning!M12*3/100</f>
        <v>1.5995215904362797E-2</v>
      </c>
      <c r="N18" s="47" t="s">
        <v>177</v>
      </c>
      <c r="O18" s="39"/>
      <c r="P18" s="39"/>
      <c r="Q18" s="39"/>
      <c r="R18" s="36"/>
    </row>
    <row r="19" spans="1:18" ht="17.45" customHeight="1" x14ac:dyDescent="0.25">
      <c r="A19" s="35" t="s">
        <v>182</v>
      </c>
      <c r="B19" s="39" t="s">
        <v>183</v>
      </c>
      <c r="C19" s="78">
        <v>18.899999999999999</v>
      </c>
      <c r="D19" s="39" t="s">
        <v>155</v>
      </c>
      <c r="E19" s="78">
        <v>20</v>
      </c>
      <c r="F19" s="39" t="s">
        <v>155</v>
      </c>
      <c r="G19" s="39"/>
      <c r="H19" s="39"/>
      <c r="I19" s="51" t="s">
        <v>184</v>
      </c>
      <c r="J19" s="52"/>
      <c r="K19" s="52"/>
      <c r="L19" s="52"/>
      <c r="M19" s="53">
        <f>(((K14-M14)*((C9*1.31)-C8)))/C9+(M16-K16)</f>
        <v>0.69674242955425381</v>
      </c>
      <c r="N19" s="54" t="s">
        <v>177</v>
      </c>
      <c r="O19" s="39"/>
      <c r="P19" s="39"/>
      <c r="Q19" s="39"/>
      <c r="R19" s="36"/>
    </row>
    <row r="20" spans="1:18" ht="17.45" customHeight="1" x14ac:dyDescent="0.25">
      <c r="A20" s="35" t="s">
        <v>147</v>
      </c>
      <c r="B20" s="38" t="s">
        <v>105</v>
      </c>
      <c r="C20" s="79">
        <v>0</v>
      </c>
      <c r="D20" s="38" t="s">
        <v>155</v>
      </c>
      <c r="E20" s="79">
        <v>2</v>
      </c>
      <c r="F20" s="38" t="s">
        <v>155</v>
      </c>
      <c r="G20" s="39"/>
      <c r="H20" s="39"/>
      <c r="I20" s="51" t="s">
        <v>185</v>
      </c>
      <c r="J20" s="52"/>
      <c r="K20" s="52"/>
      <c r="L20" s="52"/>
      <c r="M20" s="53">
        <f>M19*((C9*1.31)-C8)</f>
        <v>63.069124723251065</v>
      </c>
      <c r="N20" s="54" t="s">
        <v>186</v>
      </c>
      <c r="O20" s="39" t="s">
        <v>187</v>
      </c>
      <c r="P20" s="39"/>
      <c r="Q20" s="39"/>
      <c r="R20" s="36"/>
    </row>
    <row r="21" spans="1:18" ht="17.45" customHeight="1" x14ac:dyDescent="0.25">
      <c r="A21" s="35" t="s">
        <v>147</v>
      </c>
      <c r="B21" s="38" t="s">
        <v>188</v>
      </c>
      <c r="C21" s="79">
        <v>0</v>
      </c>
      <c r="D21" s="38" t="s">
        <v>155</v>
      </c>
      <c r="E21" s="79">
        <v>0</v>
      </c>
      <c r="F21" s="38" t="s">
        <v>155</v>
      </c>
      <c r="G21" s="39"/>
      <c r="H21" s="39"/>
      <c r="I21" s="51" t="s">
        <v>189</v>
      </c>
      <c r="J21" s="52"/>
      <c r="K21" s="52"/>
      <c r="L21" s="52"/>
      <c r="M21" s="53">
        <f>M20*Beregning!I180 +C10*Beregning!I181</f>
        <v>259.00918831634914</v>
      </c>
      <c r="N21" s="54" t="s">
        <v>190</v>
      </c>
      <c r="O21" s="39" t="s">
        <v>187</v>
      </c>
      <c r="P21" s="39"/>
      <c r="Q21" s="39"/>
      <c r="R21" s="36"/>
    </row>
    <row r="22" spans="1:18" x14ac:dyDescent="0.25">
      <c r="A22" s="35" t="s">
        <v>182</v>
      </c>
      <c r="B22" s="39"/>
      <c r="C22" s="55"/>
      <c r="D22" s="39"/>
      <c r="E22" s="55"/>
      <c r="F22" s="39"/>
      <c r="G22" s="39"/>
      <c r="H22" s="39"/>
      <c r="I22" s="62"/>
      <c r="J22" s="43"/>
      <c r="K22" s="43"/>
      <c r="L22" s="43"/>
      <c r="M22" s="43"/>
      <c r="N22" s="65"/>
      <c r="O22" s="39"/>
      <c r="P22" s="39"/>
      <c r="Q22" s="39"/>
      <c r="R22" s="36"/>
    </row>
    <row r="23" spans="1:18" x14ac:dyDescent="0.25">
      <c r="A23" s="35" t="s">
        <v>182</v>
      </c>
      <c r="B23" s="70" t="s">
        <v>191</v>
      </c>
      <c r="C23" s="43"/>
      <c r="D23" s="43"/>
      <c r="E23" s="43"/>
      <c r="F23" s="39"/>
      <c r="G23" s="39"/>
      <c r="H23" s="39"/>
      <c r="I23" s="44" t="s">
        <v>192</v>
      </c>
      <c r="J23" s="39"/>
      <c r="K23" s="39"/>
      <c r="L23" s="39"/>
      <c r="M23" s="71">
        <f>Beregning!E180-Beregning!E179</f>
        <v>-1.0874422851152161</v>
      </c>
      <c r="N23" s="47" t="s">
        <v>193</v>
      </c>
      <c r="O23" s="39"/>
      <c r="P23" s="39"/>
      <c r="Q23" s="39"/>
      <c r="R23" s="36"/>
    </row>
    <row r="24" spans="1:18" x14ac:dyDescent="0.25">
      <c r="A24" s="35" t="s">
        <v>182</v>
      </c>
      <c r="B24" s="39" t="s">
        <v>194</v>
      </c>
      <c r="C24" s="78">
        <v>26</v>
      </c>
      <c r="D24" s="39" t="s">
        <v>195</v>
      </c>
      <c r="E24" s="39"/>
      <c r="F24" s="39"/>
      <c r="G24" s="39"/>
      <c r="H24" s="39"/>
      <c r="I24" s="44" t="s">
        <v>196</v>
      </c>
      <c r="J24" s="39"/>
      <c r="K24" s="39"/>
      <c r="L24" s="39"/>
      <c r="M24" s="39"/>
      <c r="N24" s="47"/>
      <c r="O24" s="39"/>
      <c r="P24" s="39"/>
      <c r="Q24" s="39"/>
      <c r="R24" s="36"/>
    </row>
    <row r="25" spans="1:18" x14ac:dyDescent="0.25">
      <c r="A25" s="35" t="s">
        <v>182</v>
      </c>
      <c r="B25" s="39" t="s">
        <v>197</v>
      </c>
      <c r="C25" s="78">
        <v>0.5</v>
      </c>
      <c r="D25" s="39" t="s">
        <v>198</v>
      </c>
      <c r="E25" s="39"/>
      <c r="F25" s="39"/>
      <c r="G25" s="39"/>
      <c r="H25" s="39"/>
      <c r="I25" s="44" t="s">
        <v>199</v>
      </c>
      <c r="J25" s="39"/>
      <c r="K25" s="39"/>
      <c r="L25" s="39"/>
      <c r="M25" s="39"/>
      <c r="N25" s="47"/>
      <c r="O25" s="39"/>
      <c r="P25" s="39"/>
      <c r="Q25" s="39"/>
      <c r="R25" s="36"/>
    </row>
    <row r="26" spans="1:18" ht="15" customHeight="1" thickBot="1" x14ac:dyDescent="0.3">
      <c r="A26" s="35" t="s">
        <v>182</v>
      </c>
      <c r="B26" s="39" t="s">
        <v>200</v>
      </c>
      <c r="C26" s="78">
        <v>1</v>
      </c>
      <c r="D26" s="39" t="s">
        <v>201</v>
      </c>
      <c r="E26" s="39"/>
      <c r="F26" s="39"/>
      <c r="G26" s="39"/>
      <c r="H26" s="39"/>
      <c r="I26" s="56" t="s">
        <v>202</v>
      </c>
      <c r="J26" s="57"/>
      <c r="K26" s="57"/>
      <c r="L26" s="57"/>
      <c r="M26" s="57"/>
      <c r="N26" s="58"/>
      <c r="O26" s="39"/>
      <c r="P26" s="39"/>
      <c r="Q26" s="39"/>
      <c r="R26" s="36"/>
    </row>
    <row r="27" spans="1:18" x14ac:dyDescent="0.25">
      <c r="A27" s="35"/>
      <c r="B27" s="39"/>
      <c r="C27" s="39"/>
      <c r="D27" s="39"/>
      <c r="E27" s="39"/>
      <c r="F27" s="39"/>
      <c r="G27" s="39"/>
      <c r="H27" s="39"/>
      <c r="I27" s="39"/>
      <c r="J27" s="39"/>
      <c r="K27" s="39"/>
      <c r="L27" s="39"/>
      <c r="M27" s="39"/>
      <c r="N27" s="39"/>
      <c r="O27" s="39"/>
      <c r="P27" s="39"/>
      <c r="Q27" s="39"/>
      <c r="R27" s="36"/>
    </row>
    <row r="28" spans="1:18" x14ac:dyDescent="0.25">
      <c r="A28" s="35"/>
      <c r="B28" s="39" t="s">
        <v>231</v>
      </c>
      <c r="C28" s="39"/>
      <c r="D28" s="39"/>
      <c r="E28" s="39"/>
      <c r="F28" s="39"/>
      <c r="G28" s="39"/>
      <c r="H28" s="39"/>
      <c r="I28" s="39"/>
      <c r="J28" s="39"/>
      <c r="K28" s="39"/>
      <c r="L28" s="39"/>
      <c r="M28" s="39"/>
      <c r="N28" s="39"/>
      <c r="O28" s="39"/>
      <c r="P28" s="39"/>
      <c r="Q28" s="39"/>
      <c r="R28" s="36"/>
    </row>
    <row r="29" spans="1:18" x14ac:dyDescent="0.25">
      <c r="A29" s="35"/>
      <c r="B29" s="39" t="s">
        <v>232</v>
      </c>
      <c r="C29" s="39"/>
      <c r="D29" s="39"/>
      <c r="E29" s="39"/>
      <c r="F29" s="39"/>
      <c r="G29" s="39"/>
      <c r="H29" s="39"/>
      <c r="I29" s="39"/>
      <c r="J29" s="39"/>
      <c r="K29" s="39"/>
      <c r="L29" s="39"/>
      <c r="M29" s="39"/>
      <c r="N29" s="39"/>
      <c r="O29" s="39"/>
      <c r="P29" s="39"/>
      <c r="Q29" s="39"/>
      <c r="R29" s="36"/>
    </row>
    <row r="30" spans="1:18" x14ac:dyDescent="0.25">
      <c r="A30" s="35" t="s">
        <v>147</v>
      </c>
      <c r="B30" s="48" t="s">
        <v>203</v>
      </c>
      <c r="C30" s="39"/>
      <c r="D30" s="39"/>
      <c r="E30" s="59" t="s">
        <v>204</v>
      </c>
      <c r="F30" s="59"/>
      <c r="G30" s="39"/>
      <c r="H30" s="39"/>
      <c r="I30" s="39"/>
      <c r="J30" s="39"/>
      <c r="K30" s="39"/>
      <c r="L30" s="39"/>
      <c r="M30" s="39"/>
      <c r="N30" s="39"/>
      <c r="O30" s="39"/>
      <c r="P30" s="39"/>
      <c r="Q30" s="39"/>
      <c r="R30" s="36"/>
    </row>
    <row r="31" spans="1:18" x14ac:dyDescent="0.25">
      <c r="A31" s="35"/>
      <c r="B31" s="36"/>
      <c r="C31" s="36"/>
      <c r="D31" s="36"/>
      <c r="E31" s="36"/>
      <c r="F31" s="36"/>
      <c r="G31" s="36"/>
      <c r="H31" s="36"/>
      <c r="I31" s="36"/>
      <c r="J31" s="36"/>
      <c r="K31" s="36"/>
      <c r="L31" s="36"/>
      <c r="M31" s="36"/>
      <c r="N31" s="36"/>
      <c r="O31" s="36"/>
      <c r="P31" s="36"/>
      <c r="Q31" s="36"/>
      <c r="R31" s="36"/>
    </row>
    <row r="33" spans="2:19" x14ac:dyDescent="0.25">
      <c r="B33" s="60" t="s">
        <v>205</v>
      </c>
      <c r="C33" s="60"/>
      <c r="D33" s="60"/>
      <c r="E33" s="60"/>
      <c r="F33" s="60"/>
      <c r="G33" s="60"/>
      <c r="H33" s="60"/>
      <c r="I33" s="60"/>
      <c r="J33" s="60"/>
      <c r="K33" s="60"/>
      <c r="L33" s="60"/>
      <c r="M33" s="60"/>
      <c r="N33" s="60"/>
      <c r="O33" s="60"/>
      <c r="P33" s="60"/>
      <c r="Q33" s="61"/>
      <c r="R33" s="61"/>
      <c r="S33" s="61"/>
    </row>
    <row r="34" spans="2:19" x14ac:dyDescent="0.25">
      <c r="B34" s="60" t="s">
        <v>206</v>
      </c>
      <c r="C34" s="60"/>
      <c r="D34" s="60"/>
      <c r="E34" s="60"/>
      <c r="F34" s="60"/>
      <c r="G34" s="60"/>
      <c r="H34" s="60"/>
      <c r="I34" s="60"/>
      <c r="J34" s="60"/>
      <c r="K34" s="60"/>
      <c r="L34" s="60"/>
      <c r="M34" s="60"/>
      <c r="N34" s="60"/>
      <c r="O34" s="60"/>
      <c r="P34" s="60"/>
      <c r="Q34" s="61"/>
      <c r="R34" s="61"/>
      <c r="S34" s="61"/>
    </row>
    <row r="35" spans="2:19" x14ac:dyDescent="0.25">
      <c r="B35" s="60" t="s">
        <v>207</v>
      </c>
      <c r="C35" s="60"/>
      <c r="D35" s="60"/>
      <c r="E35" s="60"/>
      <c r="F35" s="60"/>
      <c r="G35" s="60"/>
      <c r="H35" s="60"/>
      <c r="I35" s="60"/>
      <c r="J35" s="60"/>
      <c r="K35" s="60"/>
      <c r="L35" s="60"/>
      <c r="M35" s="60"/>
      <c r="N35" s="60"/>
      <c r="O35" s="60"/>
      <c r="P35" s="60"/>
      <c r="Q35" s="61"/>
      <c r="R35" s="61"/>
      <c r="S35" s="61"/>
    </row>
    <row r="36" spans="2:19" x14ac:dyDescent="0.25">
      <c r="B36" s="60" t="s">
        <v>208</v>
      </c>
      <c r="C36" s="60"/>
      <c r="D36" s="61"/>
      <c r="E36" s="61"/>
      <c r="F36" s="61"/>
      <c r="G36" s="61"/>
      <c r="H36" s="61"/>
      <c r="I36" s="61"/>
      <c r="J36" s="61"/>
      <c r="K36" s="61"/>
      <c r="L36" s="61"/>
      <c r="M36" s="61"/>
      <c r="N36" s="61"/>
      <c r="O36" s="61"/>
      <c r="P36" s="61"/>
      <c r="Q36" s="61"/>
      <c r="R36" s="61"/>
      <c r="S36" s="61"/>
    </row>
    <row r="37" spans="2:19" x14ac:dyDescent="0.25">
      <c r="G37" s="82" t="e" vm="1">
        <v>#VALUE!</v>
      </c>
      <c r="H37" s="82"/>
      <c r="I37" s="82"/>
      <c r="J37" s="82"/>
      <c r="K37" s="82" t="e" vm="2">
        <v>#VALUE!</v>
      </c>
      <c r="L37" s="82"/>
      <c r="M37" s="82"/>
    </row>
    <row r="38" spans="2:19" x14ac:dyDescent="0.25">
      <c r="B38" s="76" t="s">
        <v>209</v>
      </c>
      <c r="G38" s="82"/>
      <c r="H38" s="82"/>
      <c r="I38" s="82"/>
      <c r="J38" s="82"/>
      <c r="K38" s="82"/>
      <c r="L38" s="82"/>
      <c r="M38" s="82"/>
    </row>
    <row r="39" spans="2:19" x14ac:dyDescent="0.25">
      <c r="B39" s="60" t="s">
        <v>230</v>
      </c>
      <c r="G39" s="82"/>
      <c r="H39" s="82"/>
      <c r="I39" s="82"/>
      <c r="J39" s="82"/>
      <c r="K39" s="82"/>
      <c r="L39" s="82"/>
      <c r="M39" s="82"/>
    </row>
  </sheetData>
  <mergeCells count="3">
    <mergeCell ref="A1:R1"/>
    <mergeCell ref="K37:M39"/>
    <mergeCell ref="G37:J39"/>
  </mergeCells>
  <conditionalFormatting sqref="C17">
    <cfRule type="expression" dxfId="10" priority="1">
      <formula>($C$17/$C$16)*100 &lt; 30</formula>
    </cfRule>
  </conditionalFormatting>
  <conditionalFormatting sqref="C20">
    <cfRule type="cellIs" dxfId="9" priority="19" operator="greaterThan">
      <formula>10</formula>
    </cfRule>
    <cfRule type="expression" dxfId="8" priority="20">
      <formula>"&gt;10"</formula>
    </cfRule>
  </conditionalFormatting>
  <conditionalFormatting sqref="C20:C21">
    <cfRule type="cellIs" dxfId="7" priority="14" operator="greaterThan">
      <formula>9.9</formula>
    </cfRule>
  </conditionalFormatting>
  <conditionalFormatting sqref="E15">
    <cfRule type="cellIs" dxfId="6" priority="2" operator="greaterThan">
      <formula>140</formula>
    </cfRule>
  </conditionalFormatting>
  <conditionalFormatting sqref="E17">
    <cfRule type="expression" dxfId="5" priority="21">
      <formula>($E$17/$E$16) *100 &lt;30</formula>
    </cfRule>
  </conditionalFormatting>
  <conditionalFormatting sqref="E20:E21">
    <cfRule type="cellIs" dxfId="4" priority="13" operator="greaterThan">
      <formula>9.9</formula>
    </cfRule>
    <cfRule type="cellIs" dxfId="3" priority="17" operator="greaterThan">
      <formula>10</formula>
    </cfRule>
  </conditionalFormatting>
  <conditionalFormatting sqref="M19:M21">
    <cfRule type="cellIs" dxfId="2" priority="3" operator="lessThan">
      <formula>0</formula>
    </cfRule>
  </conditionalFormatting>
  <conditionalFormatting sqref="M23">
    <cfRule type="cellIs" dxfId="1" priority="6" operator="greaterThan">
      <formula>0</formula>
    </cfRule>
    <cfRule type="cellIs" dxfId="0" priority="7" operator="lessThan">
      <formula>0</formula>
    </cfRule>
  </conditionalFormatting>
  <pageMargins left="0.7" right="0.7" top="0.75" bottom="0.75" header="0.3" footer="0.3"/>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3:D54"/>
  <sheetViews>
    <sheetView tabSelected="1" view="pageBreakPreview" zoomScale="60" zoomScaleNormal="100" workbookViewId="0">
      <selection activeCell="A3" sqref="A3:D54"/>
    </sheetView>
  </sheetViews>
  <sheetFormatPr defaultRowHeight="15" x14ac:dyDescent="0.25"/>
  <cols>
    <col min="2" max="2" width="189.140625" customWidth="1"/>
    <col min="3" max="7" width="9.140625" customWidth="1"/>
  </cols>
  <sheetData>
    <row r="3" spans="1:2" ht="18" customHeight="1" x14ac:dyDescent="0.25">
      <c r="A3" s="37"/>
      <c r="B3" s="72" t="s">
        <v>210</v>
      </c>
    </row>
    <row r="4" spans="1:2" ht="15.6" customHeight="1" x14ac:dyDescent="0.25">
      <c r="B4" s="31" t="s">
        <v>211</v>
      </c>
    </row>
    <row r="5" spans="1:2" ht="15.6" customHeight="1" x14ac:dyDescent="0.25">
      <c r="B5" s="32"/>
    </row>
    <row r="6" spans="1:2" ht="15.6" customHeight="1" x14ac:dyDescent="0.25">
      <c r="A6" s="37"/>
      <c r="B6" s="73" t="s">
        <v>212</v>
      </c>
    </row>
    <row r="7" spans="1:2" ht="15.6" customHeight="1" x14ac:dyDescent="0.25">
      <c r="B7" s="29" t="s">
        <v>213</v>
      </c>
    </row>
    <row r="8" spans="1:2" ht="15.6" customHeight="1" x14ac:dyDescent="0.25">
      <c r="B8" s="29" t="s">
        <v>214</v>
      </c>
    </row>
    <row r="9" spans="1:2" ht="15.6" customHeight="1" x14ac:dyDescent="0.25">
      <c r="B9" s="29"/>
    </row>
    <row r="10" spans="1:2" ht="15.6" customHeight="1" x14ac:dyDescent="0.25">
      <c r="A10" s="37"/>
      <c r="B10" s="73" t="s">
        <v>163</v>
      </c>
    </row>
    <row r="11" spans="1:2" ht="15.6" customHeight="1" x14ac:dyDescent="0.25">
      <c r="B11" s="29" t="s">
        <v>215</v>
      </c>
    </row>
    <row r="12" spans="1:2" ht="31.15" customHeight="1" x14ac:dyDescent="0.25">
      <c r="B12" s="74" t="s">
        <v>216</v>
      </c>
    </row>
    <row r="13" spans="1:2" ht="15.6" customHeight="1" x14ac:dyDescent="0.25">
      <c r="B13" s="29"/>
    </row>
    <row r="14" spans="1:2" ht="15.6" customHeight="1" x14ac:dyDescent="0.25">
      <c r="A14" s="37"/>
      <c r="B14" s="73" t="s">
        <v>180</v>
      </c>
    </row>
    <row r="15" spans="1:2" ht="15.6" customHeight="1" x14ac:dyDescent="0.25">
      <c r="B15" s="29" t="s">
        <v>217</v>
      </c>
    </row>
    <row r="16" spans="1:2" ht="15.6" customHeight="1" x14ac:dyDescent="0.25">
      <c r="B16" s="29" t="s">
        <v>218</v>
      </c>
    </row>
    <row r="17" spans="1:2" ht="15.6" customHeight="1" x14ac:dyDescent="0.25">
      <c r="B17" s="29"/>
    </row>
    <row r="18" spans="1:2" ht="15.6" customHeight="1" x14ac:dyDescent="0.25">
      <c r="A18" s="37"/>
      <c r="B18" s="73" t="s">
        <v>191</v>
      </c>
    </row>
    <row r="19" spans="1:2" ht="15.6" customHeight="1" x14ac:dyDescent="0.25">
      <c r="B19" s="29" t="s">
        <v>219</v>
      </c>
    </row>
    <row r="20" spans="1:2" ht="15.6" customHeight="1" x14ac:dyDescent="0.25">
      <c r="B20" s="29"/>
    </row>
    <row r="21" spans="1:2" ht="15.6" customHeight="1" x14ac:dyDescent="0.25">
      <c r="A21" s="37"/>
      <c r="B21" s="73" t="s">
        <v>143</v>
      </c>
    </row>
    <row r="22" spans="1:2" ht="15.6" customHeight="1" x14ac:dyDescent="0.25">
      <c r="B22" s="29" t="s">
        <v>220</v>
      </c>
    </row>
    <row r="23" spans="1:2" ht="15.6" customHeight="1" x14ac:dyDescent="0.25">
      <c r="B23" s="29" t="s">
        <v>221</v>
      </c>
    </row>
    <row r="24" spans="1:2" ht="15.6" customHeight="1" x14ac:dyDescent="0.25">
      <c r="B24" s="29" t="s">
        <v>222</v>
      </c>
    </row>
    <row r="25" spans="1:2" ht="15.6" customHeight="1" x14ac:dyDescent="0.25">
      <c r="B25" s="29" t="s">
        <v>223</v>
      </c>
    </row>
    <row r="26" spans="1:2" ht="15.6" customHeight="1" x14ac:dyDescent="0.25">
      <c r="B26" s="29" t="s">
        <v>224</v>
      </c>
    </row>
    <row r="27" spans="1:2" ht="15.6" customHeight="1" x14ac:dyDescent="0.25">
      <c r="B27" s="29" t="s">
        <v>225</v>
      </c>
    </row>
    <row r="28" spans="1:2" ht="15.6" customHeight="1" x14ac:dyDescent="0.25">
      <c r="B28" s="29" t="s">
        <v>226</v>
      </c>
    </row>
    <row r="29" spans="1:2" ht="15.6" customHeight="1" x14ac:dyDescent="0.25">
      <c r="B29" s="29"/>
    </row>
    <row r="30" spans="1:2" ht="15.6" customHeight="1" x14ac:dyDescent="0.25">
      <c r="A30" s="37"/>
      <c r="B30" s="73" t="s">
        <v>227</v>
      </c>
    </row>
    <row r="31" spans="1:2" x14ac:dyDescent="0.25">
      <c r="B31" s="30" t="s">
        <v>228</v>
      </c>
    </row>
    <row r="32" spans="1:2" ht="15.6" customHeight="1" x14ac:dyDescent="0.25">
      <c r="B32" s="29"/>
    </row>
    <row r="33" spans="2:2" ht="15.6" customHeight="1" x14ac:dyDescent="0.25">
      <c r="B33" s="75">
        <v>46054</v>
      </c>
    </row>
    <row r="34" spans="2:2" ht="15.6" customHeight="1" x14ac:dyDescent="0.25">
      <c r="B34" s="29"/>
    </row>
    <row r="35" spans="2:2" ht="15.6" customHeight="1" x14ac:dyDescent="0.25">
      <c r="B35" s="29"/>
    </row>
    <row r="43" spans="2:2" x14ac:dyDescent="0.25">
      <c r="B43" s="33"/>
    </row>
    <row r="52" spans="2:4" x14ac:dyDescent="0.25">
      <c r="B52" s="82" t="e" vm="2">
        <v>#VALUE!</v>
      </c>
      <c r="C52" s="82"/>
      <c r="D52" s="82"/>
    </row>
    <row r="53" spans="2:4" x14ac:dyDescent="0.25">
      <c r="B53" s="82"/>
      <c r="C53" s="82"/>
      <c r="D53" s="82"/>
    </row>
    <row r="54" spans="2:4" x14ac:dyDescent="0.25">
      <c r="B54" s="82"/>
      <c r="C54" s="82"/>
      <c r="D54" s="82"/>
    </row>
  </sheetData>
  <mergeCells count="1">
    <mergeCell ref="B52:D54"/>
  </mergeCells>
  <pageMargins left="0.7" right="0.7" top="0.75" bottom="0.75" header="0.3" footer="0.3"/>
  <pageSetup paperSize="9" scale="38" orientation="portrait" r:id="rId1"/>
  <colBreaks count="3" manualBreakCount="3">
    <brk id="1" min="2" max="55" man="1"/>
    <brk id="8" min="2" max="55" man="1"/>
    <brk id="11" min="2" max="55"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3</vt:i4>
      </vt:variant>
      <vt:variant>
        <vt:lpstr>Navngivne områder</vt:lpstr>
      </vt:variant>
      <vt:variant>
        <vt:i4>2</vt:i4>
      </vt:variant>
    </vt:vector>
  </HeadingPairs>
  <TitlesOfParts>
    <vt:vector size="5" baseType="lpstr">
      <vt:lpstr>Beregning</vt:lpstr>
      <vt:lpstr>Digitalt management værktøj</vt:lpstr>
      <vt:lpstr>Brugermanual</vt:lpstr>
      <vt:lpstr>Brugermanual!Udskriftsområde</vt:lpstr>
      <vt:lpstr>'Digitalt management værktøj'!Udskriftsområde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Trine Friis Pedersen</dc:creator>
  <cp:lastModifiedBy>Lone Gram</cp:lastModifiedBy>
  <cp:lastPrinted>2026-06-25T10:27:34Z</cp:lastPrinted>
  <dcterms:created xsi:type="dcterms:W3CDTF">2024-01-12T08:18:52Z</dcterms:created>
  <dcterms:modified xsi:type="dcterms:W3CDTF">2026-06-25T10:29:58Z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b628aa-26e3-468c-8dcb-be22822be038_Enabled">
    <vt:lpwstr>true</vt:lpwstr>
  </property>
  <property fmtid="{D5CDD505-2E9C-101B-9397-08002B2CF9AE}" pid="3" name="MSIP_Label_a4b628aa-26e3-468c-8dcb-be22822be038_SetDate">
    <vt:lpwstr>2026-03-11T17:35:42Z</vt:lpwstr>
  </property>
  <property fmtid="{D5CDD505-2E9C-101B-9397-08002B2CF9AE}" pid="4" name="MSIP_Label_a4b628aa-26e3-468c-8dcb-be22822be038_Method">
    <vt:lpwstr>Privileged</vt:lpwstr>
  </property>
  <property fmtid="{D5CDD505-2E9C-101B-9397-08002B2CF9AE}" pid="5" name="MSIP_Label_a4b628aa-26e3-468c-8dcb-be22822be038_Name">
    <vt:lpwstr>Public</vt:lpwstr>
  </property>
  <property fmtid="{D5CDD505-2E9C-101B-9397-08002B2CF9AE}" pid="6" name="MSIP_Label_a4b628aa-26e3-468c-8dcb-be22822be038_SiteId">
    <vt:lpwstr>b87b563c-9e88-4093-b364-bb15fa47ba86</vt:lpwstr>
  </property>
  <property fmtid="{D5CDD505-2E9C-101B-9397-08002B2CF9AE}" pid="7" name="MSIP_Label_a4b628aa-26e3-468c-8dcb-be22822be038_ActionId">
    <vt:lpwstr>4082c5b8-2b66-4c93-b682-7691613a41c8</vt:lpwstr>
  </property>
  <property fmtid="{D5CDD505-2E9C-101B-9397-08002B2CF9AE}" pid="8" name="MSIP_Label_a4b628aa-26e3-468c-8dcb-be22822be038_ContentBits">
    <vt:lpwstr>0</vt:lpwstr>
  </property>
  <property fmtid="{D5CDD505-2E9C-101B-9397-08002B2CF9AE}" pid="9" name="MSIP_Label_a4b628aa-26e3-468c-8dcb-be22822be038_Tag">
    <vt:lpwstr>10, 0, 1, 1</vt:lpwstr>
  </property>
</Properties>
</file>