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P:\2026\1335_SGAV_KIFJ_Opstart_økonomi_ko_kalv\02_Leverancer\"/>
    </mc:Choice>
  </mc:AlternateContent>
  <xr:revisionPtr revIDLastSave="0" documentId="13_ncr:1_{2D02A10A-C8B4-40F9-B481-035A01FA3D4C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Indtastning" sheetId="1" r:id="rId1"/>
    <sheet name="Beregninger" sheetId="2" r:id="rId2"/>
    <sheet name="Resultat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73" i="2" l="1"/>
  <c r="E8" i="2"/>
  <c r="G72" i="2"/>
  <c r="F72" i="2"/>
  <c r="E72" i="2"/>
  <c r="D64" i="2"/>
  <c r="E64" i="2"/>
  <c r="F64" i="2"/>
  <c r="G64" i="2"/>
  <c r="D63" i="2"/>
  <c r="E63" i="2"/>
  <c r="F63" i="2"/>
  <c r="G63" i="2"/>
  <c r="D62" i="2"/>
  <c r="E62" i="2"/>
  <c r="F62" i="2"/>
  <c r="G62" i="2"/>
  <c r="D58" i="2"/>
  <c r="E58" i="2"/>
  <c r="F58" i="2"/>
  <c r="G58" i="2"/>
  <c r="D57" i="2"/>
  <c r="E57" i="2"/>
  <c r="F57" i="2"/>
  <c r="G57" i="2"/>
  <c r="D56" i="2"/>
  <c r="E56" i="2"/>
  <c r="F56" i="2"/>
  <c r="G56" i="2"/>
  <c r="G55" i="2"/>
  <c r="D55" i="2"/>
  <c r="E55" i="2"/>
  <c r="F55" i="2"/>
  <c r="E33" i="2"/>
  <c r="F33" i="2"/>
  <c r="G33" i="2"/>
  <c r="D33" i="2"/>
  <c r="G32" i="2"/>
  <c r="F32" i="2"/>
  <c r="E32" i="2"/>
  <c r="D32" i="2"/>
  <c r="D63" i="1"/>
  <c r="C73" i="2"/>
  <c r="D72" i="2"/>
  <c r="C72" i="2"/>
  <c r="C68" i="2"/>
  <c r="C33" i="2"/>
  <c r="C71" i="2"/>
  <c r="C30" i="1"/>
  <c r="E19" i="2"/>
  <c r="C63" i="1" l="1"/>
  <c r="E63" i="1"/>
  <c r="F63" i="1"/>
  <c r="G63" i="1"/>
  <c r="C6" i="1"/>
  <c r="D19" i="2" s="1"/>
  <c r="G6" i="2"/>
  <c r="D71" i="1"/>
  <c r="E71" i="1"/>
  <c r="F71" i="1"/>
  <c r="G71" i="1"/>
  <c r="C71" i="1"/>
  <c r="C6" i="2"/>
  <c r="G70" i="2"/>
  <c r="F70" i="2"/>
  <c r="E70" i="2"/>
  <c r="D70" i="2"/>
  <c r="C70" i="2"/>
  <c r="F69" i="2"/>
  <c r="E69" i="2"/>
  <c r="D69" i="2"/>
  <c r="C69" i="2"/>
  <c r="G68" i="2"/>
  <c r="F68" i="2"/>
  <c r="E68" i="2"/>
  <c r="D68" i="2"/>
  <c r="G59" i="2"/>
  <c r="G83" i="2" s="1"/>
  <c r="G65" i="3" s="1"/>
  <c r="F59" i="2"/>
  <c r="F83" i="2" s="1"/>
  <c r="F65" i="3" s="1"/>
  <c r="E59" i="2"/>
  <c r="E83" i="2" s="1"/>
  <c r="E65" i="3" s="1"/>
  <c r="D59" i="2"/>
  <c r="D83" i="2" s="1"/>
  <c r="D65" i="3" s="1"/>
  <c r="C59" i="2"/>
  <c r="C83" i="2" s="1"/>
  <c r="C65" i="3" s="1"/>
  <c r="G53" i="2"/>
  <c r="F53" i="2"/>
  <c r="E53" i="2"/>
  <c r="D53" i="2"/>
  <c r="C53" i="2"/>
  <c r="G52" i="2"/>
  <c r="G82" i="2" s="1"/>
  <c r="G64" i="3" s="1"/>
  <c r="F52" i="2"/>
  <c r="F82" i="2" s="1"/>
  <c r="F64" i="3" s="1"/>
  <c r="E52" i="2"/>
  <c r="E82" i="2" s="1"/>
  <c r="E64" i="3" s="1"/>
  <c r="D52" i="2"/>
  <c r="D82" i="2" s="1"/>
  <c r="D64" i="3" s="1"/>
  <c r="C52" i="2"/>
  <c r="G51" i="2"/>
  <c r="G81" i="2" s="1"/>
  <c r="G63" i="3" s="1"/>
  <c r="F51" i="2"/>
  <c r="F81" i="2" s="1"/>
  <c r="F63" i="3" s="1"/>
  <c r="E51" i="2"/>
  <c r="E81" i="2" s="1"/>
  <c r="E63" i="3" s="1"/>
  <c r="D51" i="2"/>
  <c r="D81" i="2" s="1"/>
  <c r="D63" i="3" s="1"/>
  <c r="C51" i="2"/>
  <c r="G50" i="2"/>
  <c r="G80" i="2" s="1"/>
  <c r="G62" i="3" s="1"/>
  <c r="F50" i="2"/>
  <c r="F80" i="2" s="1"/>
  <c r="F62" i="3" s="1"/>
  <c r="E50" i="2"/>
  <c r="E80" i="2" s="1"/>
  <c r="E62" i="3" s="1"/>
  <c r="D50" i="2"/>
  <c r="D80" i="2" s="1"/>
  <c r="D62" i="3" s="1"/>
  <c r="C50" i="2"/>
  <c r="G49" i="2"/>
  <c r="G79" i="2" s="1"/>
  <c r="G61" i="3" s="1"/>
  <c r="F49" i="2"/>
  <c r="F79" i="2" s="1"/>
  <c r="F61" i="3" s="1"/>
  <c r="E49" i="2"/>
  <c r="E79" i="2" s="1"/>
  <c r="E61" i="3" s="1"/>
  <c r="D49" i="2"/>
  <c r="D79" i="2" s="1"/>
  <c r="D61" i="3" s="1"/>
  <c r="C49" i="2"/>
  <c r="G44" i="2"/>
  <c r="G98" i="2" s="1"/>
  <c r="F44" i="2"/>
  <c r="F98" i="2" s="1"/>
  <c r="E44" i="2"/>
  <c r="E98" i="2" s="1"/>
  <c r="D44" i="2"/>
  <c r="D98" i="2" s="1"/>
  <c r="C44" i="2"/>
  <c r="C98" i="2" s="1"/>
  <c r="G9" i="2"/>
  <c r="F9" i="2"/>
  <c r="E9" i="2"/>
  <c r="D9" i="2"/>
  <c r="C9" i="2"/>
  <c r="G7" i="2"/>
  <c r="F7" i="2"/>
  <c r="E7" i="2"/>
  <c r="D7" i="2"/>
  <c r="C7" i="2"/>
  <c r="F6" i="2"/>
  <c r="E6" i="2"/>
  <c r="D6" i="2"/>
  <c r="G57" i="1"/>
  <c r="F57" i="1"/>
  <c r="E57" i="1"/>
  <c r="D57" i="1"/>
  <c r="C57" i="1"/>
  <c r="C12" i="1"/>
  <c r="G16" i="2" s="1"/>
  <c r="C56" i="2" l="1"/>
  <c r="C80" i="2" s="1"/>
  <c r="C62" i="3" s="1"/>
  <c r="C55" i="2"/>
  <c r="C79" i="2" s="1"/>
  <c r="C61" i="3" s="1"/>
  <c r="C32" i="2"/>
  <c r="C35" i="2" s="1"/>
  <c r="C37" i="2" s="1"/>
  <c r="C89" i="2" s="1"/>
  <c r="C58" i="2"/>
  <c r="C82" i="2" s="1"/>
  <c r="C64" i="3" s="1"/>
  <c r="C57" i="2"/>
  <c r="C32" i="1"/>
  <c r="C81" i="2"/>
  <c r="C63" i="3" s="1"/>
  <c r="C19" i="2"/>
  <c r="F19" i="2"/>
  <c r="E34" i="2"/>
  <c r="G19" i="2"/>
  <c r="F34" i="2"/>
  <c r="G34" i="2"/>
  <c r="C46" i="1"/>
  <c r="F12" i="2" s="1"/>
  <c r="F11" i="2"/>
  <c r="F16" i="2"/>
  <c r="F22" i="2" s="1"/>
  <c r="D71" i="2"/>
  <c r="D73" i="2" s="1"/>
  <c r="D84" i="2" s="1"/>
  <c r="D66" i="3" s="1"/>
  <c r="E71" i="2"/>
  <c r="E84" i="2" s="1"/>
  <c r="E66" i="3" s="1"/>
  <c r="C84" i="2"/>
  <c r="C66" i="3" s="1"/>
  <c r="F71" i="2"/>
  <c r="F73" i="2" s="1"/>
  <c r="F84" i="2" s="1"/>
  <c r="F66" i="3" s="1"/>
  <c r="G71" i="2"/>
  <c r="G73" i="2" s="1"/>
  <c r="G84" i="2" s="1"/>
  <c r="G66" i="3" s="1"/>
  <c r="G35" i="2"/>
  <c r="G37" i="2" s="1"/>
  <c r="G89" i="2" s="1"/>
  <c r="C34" i="2"/>
  <c r="D34" i="2"/>
  <c r="C11" i="2"/>
  <c r="D35" i="2"/>
  <c r="C8" i="2"/>
  <c r="C10" i="2" s="1"/>
  <c r="D11" i="2"/>
  <c r="E35" i="2"/>
  <c r="D8" i="2"/>
  <c r="D10" i="2" s="1"/>
  <c r="E11" i="2"/>
  <c r="F35" i="2"/>
  <c r="C16" i="2"/>
  <c r="D16" i="2"/>
  <c r="D22" i="2" s="1"/>
  <c r="E16" i="2"/>
  <c r="E22" i="2" s="1"/>
  <c r="C40" i="2" l="1"/>
  <c r="C41" i="2" s="1"/>
  <c r="C42" i="2" s="1"/>
  <c r="C22" i="2"/>
  <c r="C36" i="2"/>
  <c r="G11" i="2"/>
  <c r="G22" i="2" s="1"/>
  <c r="G23" i="2" s="1"/>
  <c r="G25" i="2" s="1"/>
  <c r="E12" i="2"/>
  <c r="E10" i="2"/>
  <c r="E26" i="2" s="1"/>
  <c r="D12" i="2"/>
  <c r="F8" i="2"/>
  <c r="F10" i="2" s="1"/>
  <c r="F78" i="2" s="1"/>
  <c r="G8" i="2"/>
  <c r="G10" i="2" s="1"/>
  <c r="G26" i="2" s="1"/>
  <c r="C12" i="2"/>
  <c r="G12" i="2"/>
  <c r="G36" i="2"/>
  <c r="D37" i="2"/>
  <c r="D89" i="2" s="1"/>
  <c r="D36" i="2"/>
  <c r="E36" i="2"/>
  <c r="E37" i="2"/>
  <c r="E89" i="2" s="1"/>
  <c r="F37" i="2"/>
  <c r="F89" i="2" s="1"/>
  <c r="F36" i="2"/>
  <c r="C43" i="2"/>
  <c r="G40" i="2"/>
  <c r="G41" i="2" s="1"/>
  <c r="G42" i="2" s="1"/>
  <c r="G43" i="2" s="1"/>
  <c r="F40" i="2"/>
  <c r="F41" i="2" s="1"/>
  <c r="F42" i="2" s="1"/>
  <c r="F43" i="2" s="1"/>
  <c r="E40" i="2"/>
  <c r="E41" i="2" s="1"/>
  <c r="E42" i="2" s="1"/>
  <c r="E43" i="2" s="1"/>
  <c r="D40" i="2"/>
  <c r="D41" i="2" s="1"/>
  <c r="D42" i="2" s="1"/>
  <c r="D43" i="2" s="1"/>
  <c r="D26" i="2"/>
  <c r="D78" i="2"/>
  <c r="C26" i="2"/>
  <c r="C78" i="2"/>
  <c r="E23" i="2"/>
  <c r="C64" i="2" l="1"/>
  <c r="C62" i="2"/>
  <c r="C94" i="2" s="1"/>
  <c r="C63" i="2"/>
  <c r="G27" i="2"/>
  <c r="G6" i="3" s="1"/>
  <c r="E78" i="2"/>
  <c r="E85" i="2" s="1"/>
  <c r="E93" i="2" s="1"/>
  <c r="E97" i="2" s="1"/>
  <c r="E99" i="2" s="1"/>
  <c r="E11" i="3" s="1"/>
  <c r="F85" i="2"/>
  <c r="F88" i="2" s="1"/>
  <c r="F90" i="2" s="1"/>
  <c r="F12" i="3" s="1"/>
  <c r="F60" i="3"/>
  <c r="E60" i="3"/>
  <c r="G78" i="2"/>
  <c r="F26" i="2"/>
  <c r="G7" i="3"/>
  <c r="C85" i="2"/>
  <c r="C60" i="3"/>
  <c r="C95" i="2"/>
  <c r="C96" i="2"/>
  <c r="D60" i="3"/>
  <c r="D85" i="2"/>
  <c r="D96" i="2"/>
  <c r="D94" i="2"/>
  <c r="D95" i="2"/>
  <c r="E94" i="2"/>
  <c r="E96" i="2"/>
  <c r="E95" i="2"/>
  <c r="F94" i="2"/>
  <c r="F96" i="2"/>
  <c r="F95" i="2"/>
  <c r="E88" i="2"/>
  <c r="E90" i="2" s="1"/>
  <c r="E12" i="3" s="1"/>
  <c r="G85" i="2"/>
  <c r="G60" i="3"/>
  <c r="G94" i="2"/>
  <c r="G96" i="2"/>
  <c r="G95" i="2"/>
  <c r="F93" i="2" l="1"/>
  <c r="F23" i="2"/>
  <c r="F24" i="2"/>
  <c r="D88" i="2"/>
  <c r="D90" i="2" s="1"/>
  <c r="D12" i="3" s="1"/>
  <c r="D93" i="2"/>
  <c r="D97" i="2" s="1"/>
  <c r="D99" i="2" s="1"/>
  <c r="D11" i="3" s="1"/>
  <c r="G88" i="2"/>
  <c r="G90" i="2" s="1"/>
  <c r="G12" i="3" s="1"/>
  <c r="G93" i="2"/>
  <c r="G97" i="2" s="1"/>
  <c r="G99" i="2" s="1"/>
  <c r="G11" i="3" s="1"/>
  <c r="E13" i="3"/>
  <c r="F97" i="2"/>
  <c r="F99" i="2" s="1"/>
  <c r="F11" i="3" s="1"/>
  <c r="E24" i="2"/>
  <c r="C88" i="2"/>
  <c r="C90" i="2" s="1"/>
  <c r="C12" i="3" s="1"/>
  <c r="C93" i="2"/>
  <c r="C97" i="2" s="1"/>
  <c r="C99" i="2" s="1"/>
  <c r="C11" i="3" s="1"/>
  <c r="C13" i="3" s="1"/>
  <c r="C24" i="2"/>
  <c r="C23" i="2"/>
  <c r="D24" i="2"/>
  <c r="D23" i="2"/>
  <c r="F25" i="2" l="1"/>
  <c r="F27" i="2" s="1"/>
  <c r="F6" i="3" s="1"/>
  <c r="F13" i="3"/>
  <c r="D13" i="3"/>
  <c r="G13" i="3"/>
  <c r="C25" i="2"/>
  <c r="C27" i="2" s="1"/>
  <c r="C6" i="3" s="1"/>
  <c r="D25" i="2"/>
  <c r="D27" i="2" s="1"/>
  <c r="D6" i="3" s="1"/>
  <c r="E25" i="2"/>
  <c r="E27" i="2" s="1"/>
  <c r="E6" i="3" s="1"/>
  <c r="F7" i="3" l="1"/>
  <c r="C17" i="3"/>
  <c r="C18" i="3" s="1"/>
  <c r="C7" i="3"/>
  <c r="G17" i="3"/>
  <c r="F17" i="3"/>
  <c r="D17" i="3"/>
  <c r="D7" i="3"/>
  <c r="E17" i="3"/>
  <c r="E7" i="3"/>
  <c r="C19" i="3" l="1"/>
  <c r="F19" i="3"/>
  <c r="F18" i="3"/>
  <c r="G19" i="3"/>
  <c r="G18" i="3"/>
  <c r="E19" i="3"/>
  <c r="E18" i="3"/>
  <c r="D19" i="3"/>
  <c r="D18" i="3"/>
</calcChain>
</file>

<file path=xl/sharedStrings.xml><?xml version="1.0" encoding="utf-8"?>
<sst xmlns="http://schemas.openxmlformats.org/spreadsheetml/2006/main" count="260" uniqueCount="191">
  <si>
    <t>Ko-Kalv Økonomimodel — Indtastning</t>
  </si>
  <si>
    <t>Alle gule celler kan redigeres. Grå celler beregnes automatisk. Ændringer her slår igennem i hele modellen.</t>
  </si>
  <si>
    <t>Besætningsparametre</t>
  </si>
  <si>
    <t>Antal årskøer</t>
  </si>
  <si>
    <t>stk.</t>
  </si>
  <si>
    <t>Kalve pr. ammetante</t>
  </si>
  <si>
    <t>Ydelse</t>
  </si>
  <si>
    <t>Gennemsnitlig ydelse pr. årsko, fra ydelseskontrol</t>
  </si>
  <si>
    <t>kg EKM</t>
  </si>
  <si>
    <t>Gennemsnitlig daglig ydelse (beregnet)</t>
  </si>
  <si>
    <t>kg EKM/dag</t>
  </si>
  <si>
    <t>Priser og satser</t>
  </si>
  <si>
    <t>Mælkepris</t>
  </si>
  <si>
    <t>kr/kg EKM</t>
  </si>
  <si>
    <t>Pris på frasorteret-/ammetantemælk</t>
  </si>
  <si>
    <t>Merpris for ko-kalv mælk</t>
  </si>
  <si>
    <t>Gennemsnitlig timeløn</t>
  </si>
  <si>
    <t>kr/time</t>
  </si>
  <si>
    <t>Halm</t>
  </si>
  <si>
    <t>kr/kg</t>
  </si>
  <si>
    <t>Kalvefoder</t>
  </si>
  <si>
    <t>Økologisk mælkepulver</t>
  </si>
  <si>
    <t>TMR foder efter fravænning</t>
  </si>
  <si>
    <t>kr/dag</t>
  </si>
  <si>
    <t>kr</t>
  </si>
  <si>
    <t>Salgsværdi kalve/kvier (levende vægt)</t>
  </si>
  <si>
    <t>Tilvækst og opdræt</t>
  </si>
  <si>
    <t>Fødselsvægt</t>
  </si>
  <si>
    <t>kg</t>
  </si>
  <si>
    <t>Mål for vægt ved første løbning</t>
  </si>
  <si>
    <t>Mål for alder ved første løbning</t>
  </si>
  <si>
    <t>måneder</t>
  </si>
  <si>
    <t>dage</t>
  </si>
  <si>
    <t>kg/dag</t>
  </si>
  <si>
    <t>Pladsbehov og bygningsomkostninger</t>
  </si>
  <si>
    <t>Areal pr. ammetante eller morko (uden kalve)</t>
  </si>
  <si>
    <t>m²</t>
  </si>
  <si>
    <t>Areal pr. kalv der går ved ko</t>
  </si>
  <si>
    <t>Afskrivning bygninger</t>
  </si>
  <si>
    <t>kr/ko/år</t>
  </si>
  <si>
    <t>Afskrivning inventar</t>
  </si>
  <si>
    <t>Arealpris beregnes fra afskrivninger divideret med det samlede forventede besætningsareal på 8 m²/ko.</t>
  </si>
  <si>
    <t>Dagligt mælkeforbrug pr. kalv afhængigt af system</t>
  </si>
  <si>
    <t>Ved fuldtids adgang til egen ko</t>
  </si>
  <si>
    <t>L/dag</t>
  </si>
  <si>
    <t>Ved halvtids adgang til egen ko</t>
  </si>
  <si>
    <t>Fra spand/automat</t>
  </si>
  <si>
    <t>Fra ammetante (beregnet = daglig ydelse / kalve pr. ammetante)</t>
  </si>
  <si>
    <t>Systemspecifikke parametre</t>
  </si>
  <si>
    <t>KKFH</t>
  </si>
  <si>
    <t>KKF</t>
  </si>
  <si>
    <t>ATF</t>
  </si>
  <si>
    <t>HYB</t>
  </si>
  <si>
    <t>STD</t>
  </si>
  <si>
    <t>Ammetante system, fuldtid</t>
  </si>
  <si>
    <t>Hybridsystem</t>
  </si>
  <si>
    <t>Standardbesætning (kontrol)</t>
  </si>
  <si>
    <t>Kontaktdage i mælkefodringsperioden (12 uger = 84 dage i alt)</t>
  </si>
  <si>
    <t>Dage ved egen ko, fuldtid</t>
  </si>
  <si>
    <t>Dage ved egen ko, halvtid</t>
  </si>
  <si>
    <t>Dage ved ammetante</t>
  </si>
  <si>
    <t>Dage på spand/automat</t>
  </si>
  <si>
    <t>Pasning og strøelse</t>
  </si>
  <si>
    <t>Foder</t>
  </si>
  <si>
    <t>Kalvefoder, kg/dag (indtil fravænning)</t>
  </si>
  <si>
    <t>Mælkepulver, kg/dag</t>
  </si>
  <si>
    <t>Beregninger — dette ark beregnes automatisk, redigér ikke</t>
  </si>
  <si>
    <t>A · Mælkeforbrug pr. kalv</t>
  </si>
  <si>
    <t>Mælkeomkostning pr. kalv, kr</t>
  </si>
  <si>
    <t>Mor-ko kontakt, fuldtidsadgang, kr</t>
  </si>
  <si>
    <t>Mor-ko kontakt, halvtidsadgang, kr</t>
  </si>
  <si>
    <t>Ammetantemælk, kr</t>
  </si>
  <si>
    <t>Spand/automat, kr</t>
  </si>
  <si>
    <t>Samlet mælkeomkostning pr. kalv, kr</t>
  </si>
  <si>
    <t>B · Ydelse og mælkeindkomst pr. årsko</t>
  </si>
  <si>
    <t>Daglig ydelse, kg EKM/dag</t>
  </si>
  <si>
    <t>Værdi af leveret mælk til mejeriet, kr/år</t>
  </si>
  <si>
    <t>Merpris ko-kalv mælk, kr/år</t>
  </si>
  <si>
    <t>n/a</t>
  </si>
  <si>
    <t>Leveret mælk inkl. merpris, kr/år</t>
  </si>
  <si>
    <t>Værdi af mælk drukket af kalv (jf. Samlet mælkeomkostning pr. kalv, række 10), kr/år</t>
  </si>
  <si>
    <t>C · Tilvækst og værdisætning</t>
  </si>
  <si>
    <t>Salgsværdi v. fravænning, kr</t>
  </si>
  <si>
    <t>Opdræt til løbning</t>
  </si>
  <si>
    <t>Vægt v. 13 mdr., kg</t>
  </si>
  <si>
    <t>D · Omkostninger pr. kalv/kvie</t>
  </si>
  <si>
    <t>Daglige satser</t>
  </si>
  <si>
    <t>Pasning, kr/dag (kalv)</t>
  </si>
  <si>
    <t>Strøelse, kr/dag</t>
  </si>
  <si>
    <t>Kalvefoder, kr/dag</t>
  </si>
  <si>
    <t>Mælkepulver, kr/dag</t>
  </si>
  <si>
    <t>Pasning, kr/dag (kvie, efter fravænning)</t>
  </si>
  <si>
    <t>Pasning indtil fravænning, kr</t>
  </si>
  <si>
    <t>Strøelse indtil fravænning, kr</t>
  </si>
  <si>
    <t>Kalvefoder indtil fravænning, kr</t>
  </si>
  <si>
    <t>Mælkepulver indtil fravænning, kr</t>
  </si>
  <si>
    <t>Dyrlæge, kr</t>
  </si>
  <si>
    <t>Pasning fravænning–løbning, kr</t>
  </si>
  <si>
    <t>Strøelse fravænning–løbning, kr</t>
  </si>
  <si>
    <t>TMR foder fravænning–løbning, kr</t>
  </si>
  <si>
    <t>E · Pladsbehov og arealpris</t>
  </si>
  <si>
    <t>Forventet samlet areal ud fra 8 kvm/ko</t>
  </si>
  <si>
    <t>Ekstra areal pr. ammetante eller morko (ud over 8 m²/ko), m²</t>
  </si>
  <si>
    <t>Afskrivning total, kr/år</t>
  </si>
  <si>
    <t>Pris pr. m², kr</t>
  </si>
  <si>
    <t>Areal pr. kalv i mælkeperiode, m²</t>
  </si>
  <si>
    <t>Arealpris pr. kalv, i mælkeperiode, kr</t>
  </si>
  <si>
    <t>F · Resultat pr. kalv (inkl. mælk)</t>
  </si>
  <si>
    <t>Omkostninger indtil fravænning, inkl. mælk</t>
  </si>
  <si>
    <t>Pasning</t>
  </si>
  <si>
    <t>Strøelse</t>
  </si>
  <si>
    <t>Mælkepulver</t>
  </si>
  <si>
    <t>Dyrlæge</t>
  </si>
  <si>
    <t>Arealpris</t>
  </si>
  <si>
    <t>Sum fravænning, inkl. mælk, kr</t>
  </si>
  <si>
    <t>Solgt v. fravænning (tyre, krydsningskalve)</t>
  </si>
  <si>
    <t>Omkostninger op til fravænning (ovf.)</t>
  </si>
  <si>
    <t>Salgsværdi v. fravænning</t>
  </si>
  <si>
    <t>Resultat pr. solgt kalv, kr</t>
  </si>
  <si>
    <t>Opdrættet til løbekvie</t>
  </si>
  <si>
    <t>Pasning fravænning–løbning</t>
  </si>
  <si>
    <t>Strøelse fravænning–løbning</t>
  </si>
  <si>
    <t>TMR foder fravænning–løbning</t>
  </si>
  <si>
    <t>Salgsværdi v. løbning</t>
  </si>
  <si>
    <t>Resultat pr. opdrættet løbekvie, kr</t>
  </si>
  <si>
    <t>Resultater — Sammenligning af 5 ko-kalv-systemer</t>
  </si>
  <si>
    <t>Alle tal beregnes fra Indtastning-arket. Skift parametre dér for at se effekten.</t>
  </si>
  <si>
    <t>Mælkeøkonomi pr. årsko (værdi af al mælk fra koen, uanset leveret eller drukket af kalv)</t>
  </si>
  <si>
    <t>Mælkeværdi, kr/år</t>
  </si>
  <si>
    <t>Forskel fra STD (mælk), kr/år</t>
  </si>
  <si>
    <t>Opdræts- og salgsresultat pr. kalv (inkl. mælk)</t>
  </si>
  <si>
    <t>Resultat pr. solgt kalv v. fravænning, kr</t>
  </si>
  <si>
    <t>Vægtet resultat, baseret på udskiftningsprocent, pr. kalv, kr</t>
  </si>
  <si>
    <t>Samlet resultat</t>
  </si>
  <si>
    <t>Samlet resultat pr. årsko (mælk + vægtet opdræt), kr/år</t>
  </si>
  <si>
    <t>Samlet for besætningen, kr/år</t>
  </si>
  <si>
    <t>Forskel fra STD, kr/årsko</t>
  </si>
  <si>
    <t>Mælkeomkostning</t>
  </si>
  <si>
    <t>Andel kalve der opdrættes til løbekvier</t>
  </si>
  <si>
    <t>Areal pr. kalv uden ko</t>
  </si>
  <si>
    <t>MorKo-kontakt, fuldtid</t>
  </si>
  <si>
    <t>MorKo-kontakt, delvis fuldtid og halvtid</t>
  </si>
  <si>
    <t>Daglig ydelsesændring for mor-ko (EKM/dag, UD OVER den mælk kalven drikker)</t>
  </si>
  <si>
    <t>Koens ydelse falder potentielt udover kalvens direkte forbrug — grundet dårligere mælkenedlægning</t>
  </si>
  <si>
    <t>Daglig ydelsefald ved halvtids kontakt, indtil fravænning (kg EKM /dag)</t>
  </si>
  <si>
    <t>Daglig ydelsefald ved fuldtids kontakt, indtil fravænning (kg EKM /dag)</t>
  </si>
  <si>
    <t xml:space="preserve">Pasningstid (min / kalv / dag) (indtil fravænning) </t>
  </si>
  <si>
    <t xml:space="preserve">Pasnings kalv (kr / dag) (indtil fravænning) </t>
  </si>
  <si>
    <t>Strøelsesforbrug, (kg/dag)</t>
  </si>
  <si>
    <t>Antal kalve/år</t>
  </si>
  <si>
    <t>Total ydelsesfald, indtil fravænning (kg EKM)</t>
  </si>
  <si>
    <t>Samlet mælkeforbrug kg EKM / Kalv</t>
  </si>
  <si>
    <t>Heraf ammetante-/frasepareret mælk,  kg EKM</t>
  </si>
  <si>
    <t>Ammetante-beregning (kun ATF og HYB) (bliver ikke brugt videre, blot til oplysning)</t>
  </si>
  <si>
    <t>Antal årsammetanter</t>
  </si>
  <si>
    <t>Foderdage fødsel til mål for alder ved første løbning (beregnet)</t>
  </si>
  <si>
    <t>Forskel fra vægtmål for løbning, kg</t>
  </si>
  <si>
    <t>Antal færre foderdage pr. kvie for at opnå vægtmål</t>
  </si>
  <si>
    <t>Salgsværdi v. løbning (fast: vægtmål × pris), kr</t>
  </si>
  <si>
    <t>Totaler fravænning til løbning ved vægtmål</t>
  </si>
  <si>
    <t>%</t>
  </si>
  <si>
    <t>Dyrlæge pr. kalv i opdrætsperiode (totalt)</t>
  </si>
  <si>
    <t>Ammetanten deler den gennemsnitlige daglige ydelse mellem det angivne antal kalve.</t>
  </si>
  <si>
    <t>Pasning kvier ( kr/dag ) (efter fravænning)</t>
  </si>
  <si>
    <t>I mælkefodringsperioden, tilvækst (kg/dag)</t>
  </si>
  <si>
    <t>Tilvækst fra fødsel til 30 dage efter mælkefravænning</t>
  </si>
  <si>
    <t>De 30 dage efter mælkefravænning, tilvækst (kg/dag)</t>
  </si>
  <si>
    <t>Tilvækst under mælkefodringsperiode, kg</t>
  </si>
  <si>
    <t>Tilvækst en måned efter fravænning, kg</t>
  </si>
  <si>
    <t>Vægt v. fravænning, kg</t>
  </si>
  <si>
    <t>Vægt en måned efter fravænning, kg</t>
  </si>
  <si>
    <t>Foderdage fra en måned efter fravænning til mål for alder ved første løbning (beregnet)</t>
  </si>
  <si>
    <t>Tilvækst fra fødsel frem til en måned efter fravænning, kg</t>
  </si>
  <si>
    <t>Vækst fra fødsel til en måned efter fravænning</t>
  </si>
  <si>
    <t>Reelle foderdage for at opnå vægtmål (OBS - tjek også om kvien har størrelsen og alderen)</t>
  </si>
  <si>
    <t>Totaler indtil fravænning</t>
  </si>
  <si>
    <t>Sum indtil løbning ved vægtmål, inkl. mælk, kr</t>
  </si>
  <si>
    <t>Resultat pr. opdrættet løbekvie ved vægtmål, kr</t>
  </si>
  <si>
    <t>Kontrolsum kontaktdage / fravænningsalder, dage</t>
  </si>
  <si>
    <t>Gennemsnitlig tilvækst pr. dag efter den første måned efter fravænning</t>
  </si>
  <si>
    <t>Til tegning af graf:</t>
  </si>
  <si>
    <t>Leveret mælkeydelse pr. årsko, kg EKM</t>
  </si>
  <si>
    <t>Mælkeværdi</t>
  </si>
  <si>
    <t>Mælkeomkostning (mælk drukket af kalv, jf. Samlet mælkeomkostning pr. kalv), kr</t>
  </si>
  <si>
    <t>Pasning, kr</t>
  </si>
  <si>
    <t>Strøelse, kr</t>
  </si>
  <si>
    <t>Kalvefoder, kr</t>
  </si>
  <si>
    <t>Mælkepulver, kr</t>
  </si>
  <si>
    <t>Arealpris, kr</t>
  </si>
  <si>
    <t>Mælkeværdi, kr/årsko — værdi af mælk fra koen, uanset leveret eller drukket af kalven</t>
  </si>
  <si>
    <t xml:space="preserve">Dette regneark er kun tænkt som beslutningsstøtte. Der tages forbehold for fejl.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</si>
</sst>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19" x14ac:knownFonts="1">
    <font>
      <sz val="11"/>
      <color theme="1"/>
      <name val="Calibri"/>
      <family val="2"/>
      <charset val="1"/>
    </font>
    <font>
      <b/>
      <sz val="14"/>
      <color rgb="FF1B5E20"/>
      <name val="Calibri"/>
      <family val="2"/>
    </font>
    <font>
      <i/>
      <sz val="9"/>
      <color rgb="FF757575"/>
      <name val="Calibri"/>
      <family val="2"/>
    </font>
    <font>
      <b/>
      <sz val="12"/>
      <color rgb="FFFFFFFF"/>
      <name val="Calibri"/>
      <family val="2"/>
    </font>
    <font>
      <sz val="10"/>
      <color rgb="FF000000"/>
      <name val="Calibri"/>
      <family val="2"/>
    </font>
    <font>
      <sz val="10"/>
      <color rgb="FF0000CC"/>
      <name val="Calibri"/>
      <family val="2"/>
    </font>
    <font>
      <i/>
      <sz val="10"/>
      <color rgb="FF000000"/>
      <name val="Calibri"/>
      <family val="2"/>
    </font>
    <font>
      <b/>
      <sz val="10"/>
      <name val="Calibri"/>
      <family val="2"/>
      <charset val="1"/>
    </font>
    <font>
      <i/>
      <sz val="9"/>
      <name val="Calibri"/>
      <family val="2"/>
      <charset val="1"/>
    </font>
    <font>
      <b/>
      <sz val="10"/>
      <color rgb="FF000000"/>
      <name val="Calibri"/>
      <family val="2"/>
    </font>
    <font>
      <i/>
      <sz val="9"/>
      <color rgb="FF757575"/>
      <name val="Calibri"/>
      <family val="2"/>
      <charset val="1"/>
    </font>
    <font>
      <b/>
      <sz val="14"/>
      <color rgb="FF757575"/>
      <name val="Calibri"/>
      <family val="2"/>
    </font>
    <font>
      <b/>
      <sz val="10"/>
      <color rgb="FFFFFFFF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charset val="1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2E7D32"/>
        <bgColor rgb="FF388E3C"/>
      </patternFill>
    </fill>
    <fill>
      <patternFill patternType="solid">
        <fgColor rgb="FFFFF9C4"/>
        <bgColor rgb="FFEBF1DE"/>
      </patternFill>
    </fill>
    <fill>
      <patternFill patternType="solid">
        <fgColor rgb="FFF5F5F5"/>
        <bgColor rgb="FFF9F9F9"/>
      </patternFill>
    </fill>
    <fill>
      <patternFill patternType="solid">
        <fgColor theme="6" tint="0.79989013336588644"/>
        <bgColor rgb="FFE8F5E9"/>
      </patternFill>
    </fill>
    <fill>
      <patternFill patternType="solid">
        <fgColor rgb="FFE8F5E9"/>
        <bgColor rgb="FFEBF1DE"/>
      </patternFill>
    </fill>
    <fill>
      <patternFill patternType="solid">
        <fgColor rgb="FF37474F"/>
        <bgColor rgb="FF1F4D3D"/>
      </patternFill>
    </fill>
    <fill>
      <patternFill patternType="solid">
        <fgColor rgb="FFDCEDC8"/>
        <bgColor rgb="FFEBF1D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/>
    <xf numFmtId="0" fontId="4" fillId="0" borderId="0" xfId="0" applyFont="1" applyAlignment="1">
      <alignment vertical="center" wrapText="1"/>
    </xf>
    <xf numFmtId="3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164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Alignment="1">
      <alignment horizontal="right" vertical="center" wrapText="1"/>
    </xf>
    <xf numFmtId="165" fontId="6" fillId="4" borderId="1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3" fontId="6" fillId="4" borderId="1" xfId="0" applyNumberFormat="1" applyFont="1" applyFill="1" applyBorder="1" applyAlignment="1">
      <alignment horizontal="right" vertical="center" wrapText="1"/>
    </xf>
    <xf numFmtId="0" fontId="7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 wrapText="1"/>
    </xf>
    <xf numFmtId="0" fontId="11" fillId="0" borderId="0" xfId="0" applyFont="1"/>
    <xf numFmtId="0" fontId="12" fillId="7" borderId="0" xfId="0" applyFont="1" applyFill="1" applyAlignment="1">
      <alignment horizontal="center"/>
    </xf>
    <xf numFmtId="0" fontId="14" fillId="0" borderId="0" xfId="0" applyFont="1" applyAlignment="1">
      <alignment vertical="center" wrapText="1"/>
    </xf>
    <xf numFmtId="3" fontId="15" fillId="4" borderId="1" xfId="0" applyNumberFormat="1" applyFont="1" applyFill="1" applyBorder="1" applyAlignment="1">
      <alignment horizontal="right" vertical="center" wrapText="1"/>
    </xf>
    <xf numFmtId="0" fontId="13" fillId="8" borderId="0" xfId="0" applyFont="1" applyFill="1" applyAlignment="1">
      <alignment vertical="center" wrapText="1"/>
    </xf>
    <xf numFmtId="3" fontId="13" fillId="8" borderId="1" xfId="0" applyNumberFormat="1" applyFont="1" applyFill="1" applyBorder="1" applyAlignment="1">
      <alignment horizontal="right" vertical="center" wrapText="1"/>
    </xf>
    <xf numFmtId="165" fontId="15" fillId="4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165" fontId="13" fillId="8" borderId="1" xfId="0" applyNumberFormat="1" applyFont="1" applyFill="1" applyBorder="1" applyAlignment="1">
      <alignment horizontal="right" vertical="center" wrapText="1"/>
    </xf>
    <xf numFmtId="0" fontId="13" fillId="8" borderId="0" xfId="0" applyFont="1" applyFill="1"/>
    <xf numFmtId="0" fontId="13" fillId="0" borderId="0" xfId="0" applyFont="1" applyAlignment="1">
      <alignment vertical="center" wrapText="1"/>
    </xf>
    <xf numFmtId="0" fontId="2" fillId="0" borderId="0" xfId="0" applyFont="1"/>
    <xf numFmtId="0" fontId="15" fillId="0" borderId="0" xfId="0" applyFont="1" applyAlignment="1">
      <alignment horizontal="right" vertical="center" wrapText="1"/>
    </xf>
    <xf numFmtId="164" fontId="15" fillId="0" borderId="0" xfId="0" applyNumberFormat="1" applyFont="1" applyAlignment="1">
      <alignment horizontal="right" vertical="center" wrapText="1"/>
    </xf>
    <xf numFmtId="3" fontId="15" fillId="0" borderId="0" xfId="0" applyNumberFormat="1" applyFont="1" applyAlignment="1">
      <alignment horizontal="right" vertical="center" wrapText="1"/>
    </xf>
    <xf numFmtId="3" fontId="14" fillId="9" borderId="1" xfId="0" applyNumberFormat="1" applyFont="1" applyFill="1" applyBorder="1" applyAlignment="1">
      <alignment horizontal="right" vertical="center" wrapText="1"/>
    </xf>
    <xf numFmtId="0" fontId="17" fillId="0" borderId="0" xfId="0" applyFont="1"/>
    <xf numFmtId="0" fontId="18" fillId="0" borderId="0" xfId="0" applyFont="1"/>
    <xf numFmtId="3" fontId="0" fillId="0" borderId="0" xfId="0" applyNumberFormat="1"/>
    <xf numFmtId="166" fontId="0" fillId="0" borderId="0" xfId="0" applyNumberFormat="1"/>
    <xf numFmtId="1" fontId="0" fillId="0" borderId="0" xfId="0" applyNumberFormat="1"/>
    <xf numFmtId="3" fontId="6" fillId="4" borderId="0" xfId="0" applyNumberFormat="1" applyFont="1" applyFill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3" fontId="13" fillId="0" borderId="0" xfId="0" applyNumberFormat="1" applyFont="1" applyAlignment="1">
      <alignment horizontal="right" vertical="center" wrapText="1"/>
    </xf>
    <xf numFmtId="3" fontId="14" fillId="0" borderId="0" xfId="0" applyNumberFormat="1" applyFont="1" applyAlignment="1">
      <alignment horizontal="right" vertical="center" wrapText="1"/>
    </xf>
    <xf numFmtId="4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8" fillId="5" borderId="0" xfId="0" applyFont="1" applyFill="1" applyAlignment="1">
      <alignment horizontal="center" vertical="top" wrapText="1"/>
    </xf>
    <xf numFmtId="0" fontId="2" fillId="10" borderId="0" xfId="0" applyFont="1" applyFill="1"/>
    <xf numFmtId="3" fontId="2" fillId="10" borderId="0" xfId="0" applyNumberFormat="1" applyFont="1" applyFill="1"/>
    <xf numFmtId="165" fontId="15" fillId="9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9" fillId="6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3" fillId="6" borderId="2" xfId="0" applyFont="1" applyFill="1" applyBorder="1" applyAlignment="1">
      <alignment vertical="center" wrapText="1"/>
    </xf>
    <xf numFmtId="0" fontId="13" fillId="6" borderId="0" xfId="0" applyFont="1" applyFill="1" applyAlignment="1">
      <alignment vertical="center" wrapText="1"/>
    </xf>
    <xf numFmtId="0" fontId="13" fillId="6" borderId="0" xfId="0" quotePrefix="1" applyFont="1" applyFill="1" applyAlignment="1">
      <alignment vertical="center" wrapText="1"/>
    </xf>
    <xf numFmtId="0" fontId="0" fillId="11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CDDC39"/>
      <rgbColor rgb="FFFF00FF"/>
      <rgbColor rgb="FF00FFFF"/>
      <rgbColor rgb="FF800000"/>
      <rgbColor rgb="FF2E7D32"/>
      <rgbColor rgb="FF000080"/>
      <rgbColor rgb="FF4CAF50"/>
      <rgbColor rgb="FF800080"/>
      <rgbColor rgb="FF388E3C"/>
      <rgbColor rgb="FFA5D6A7"/>
      <rgbColor rgb="FF878787"/>
      <rgbColor rgb="FF9999FF"/>
      <rgbColor rgb="FF795548"/>
      <rgbColor rgb="FFFFF9C4"/>
      <rgbColor rgb="FFE8F5E9"/>
      <rgbColor rgb="FF660066"/>
      <rgbColor rgb="FFEF535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BF1DE"/>
      <rgbColor rgb="FFDCEDC8"/>
      <rgbColor rgb="FFF5F5F5"/>
      <rgbColor rgb="FF81C784"/>
      <rgbColor rgb="FFFF99CC"/>
      <rgbColor rgb="FFCC99FF"/>
      <rgbColor rgb="FFF9F9F9"/>
      <rgbColor rgb="FF4F81BD"/>
      <rgbColor rgb="FF66BB6A"/>
      <rgbColor rgb="FF8BC34A"/>
      <rgbColor rgb="FFFFC107"/>
      <rgbColor rgb="FFFF9900"/>
      <rgbColor rgb="FFE67E22"/>
      <rgbColor rgb="FF757575"/>
      <rgbColor rgb="FF9E9E9E"/>
      <rgbColor rgb="FF1F4D3D"/>
      <rgbColor rgb="FF43A047"/>
      <rgbColor rgb="FF003300"/>
      <rgbColor rgb="FF1B5E20"/>
      <rgbColor rgb="FF993300"/>
      <rgbColor rgb="FFE53935"/>
      <rgbColor rgb="FF333399"/>
      <rgbColor rgb="FF37474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c:style val="2"/>
  <c:chart>
    <c:title>
      <c:tx>
        <c:rich>
          <a:bodyPr rot="0"/>
          <a:lstStyle/>
          <a:p>
            <a:pPr>
              <a:defRPr lang="da-DK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a-DK" sz="1800" b="1" strike="noStrike" spc="-1">
                <a:solidFill>
                  <a:srgbClr val="000000"/>
                </a:solidFill>
                <a:latin typeface="Calibri"/>
              </a:rPr>
              <a:t>Forskel fra STD (kr/årsko)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8791866028699E-2"/>
          <c:y val="0.13484331872057201"/>
          <c:w val="0.88042015550239205"/>
          <c:h val="0.846728364994317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EF5350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1-C7CE-4235-8070-A950A68042D8}"/>
              </c:ext>
            </c:extLst>
          </c:dPt>
          <c:dPt>
            <c:idx val="1"/>
            <c:invertIfNegative val="0"/>
            <c:bubble3D val="0"/>
            <c:spPr>
              <a:solidFill>
                <a:srgbClr val="E53935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3-C7CE-4235-8070-A950A68042D8}"/>
              </c:ext>
            </c:extLst>
          </c:dPt>
          <c:dPt>
            <c:idx val="2"/>
            <c:invertIfNegative val="0"/>
            <c:bubble3D val="0"/>
            <c:spPr>
              <a:solidFill>
                <a:srgbClr val="66BB6A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5-C7CE-4235-8070-A950A68042D8}"/>
              </c:ext>
            </c:extLst>
          </c:dPt>
          <c:dPt>
            <c:idx val="3"/>
            <c:invertIfNegative val="0"/>
            <c:bubble3D val="0"/>
            <c:spPr>
              <a:solidFill>
                <a:srgbClr val="43A047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7-C7CE-4235-8070-A950A68042D8}"/>
              </c:ext>
            </c:extLst>
          </c:dPt>
          <c:dPt>
            <c:idx val="4"/>
            <c:invertIfNegative val="0"/>
            <c:bubble3D val="0"/>
            <c:spPr>
              <a:solidFill>
                <a:srgbClr val="9E9E9E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9-C7CE-4235-8070-A950A68042D8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da-DK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CE-4235-8070-A950A68042D8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da-DK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CE-4235-8070-A950A68042D8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da-DK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CE-4235-8070-A950A68042D8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da-DK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CE-4235-8070-A950A68042D8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da-DK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CE-4235-8070-A950A68042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a-DK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Resultater!$C$16:$G$16</c:f>
              <c:strCache>
                <c:ptCount val="5"/>
                <c:pt idx="0">
                  <c:v>KKFH</c:v>
                </c:pt>
                <c:pt idx="1">
                  <c:v>KKF</c:v>
                </c:pt>
                <c:pt idx="2">
                  <c:v>ATF</c:v>
                </c:pt>
                <c:pt idx="3">
                  <c:v>HYB</c:v>
                </c:pt>
                <c:pt idx="4">
                  <c:v>STD</c:v>
                </c:pt>
              </c:strCache>
            </c:strRef>
          </c:cat>
          <c:val>
            <c:numRef>
              <c:f>Resultater!$C$19:$G$19</c:f>
              <c:numCache>
                <c:formatCode>#,##0</c:formatCode>
                <c:ptCount val="5"/>
                <c:pt idx="0">
                  <c:v>-1836.5219471624223</c:v>
                </c:pt>
                <c:pt idx="1">
                  <c:v>-2397.1702328767205</c:v>
                </c:pt>
                <c:pt idx="2">
                  <c:v>-563.03665218526294</c:v>
                </c:pt>
                <c:pt idx="3">
                  <c:v>-380.09529510763241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CE-4235-8070-A950A6804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839011"/>
        <c:axId val="91699671"/>
      </c:barChart>
      <c:catAx>
        <c:axId val="3083901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a-DK"/>
          </a:p>
        </c:txPr>
        <c:crossAx val="91699671"/>
        <c:crosses val="autoZero"/>
        <c:auto val="1"/>
        <c:lblAlgn val="ctr"/>
        <c:lblOffset val="100"/>
        <c:noMultiLvlLbl val="0"/>
      </c:catAx>
      <c:valAx>
        <c:axId val="9169967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da-DK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a-DK" sz="1000" b="1" strike="noStrike" spc="-1">
                    <a:solidFill>
                      <a:srgbClr val="000000"/>
                    </a:solidFill>
                    <a:latin typeface="Calibri"/>
                  </a:rPr>
                  <a:t>kr/år (negativ = dyrere end STD)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a-DK"/>
          </a:p>
        </c:txPr>
        <c:crossAx val="3083901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lang="da-DK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a-DK" sz="1800" b="1" strike="noStrike" spc="-1">
                <a:solidFill>
                  <a:srgbClr val="000000"/>
                </a:solidFill>
                <a:latin typeface="Calibri"/>
              </a:rPr>
              <a:t>Omkostningsfordeling pr. kalv indtil fravænning (inkl. mælk, kr)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Resultater!$B$60</c:f>
              <c:strCache>
                <c:ptCount val="1"/>
                <c:pt idx="0">
                  <c:v>Mælkeomkostning</c:v>
                </c:pt>
              </c:strCache>
            </c:strRef>
          </c:tx>
          <c:spPr>
            <a:solidFill>
              <a:srgbClr val="1F4D3D"/>
            </a:solidFill>
            <a:ln w="9360">
              <a:solidFill>
                <a:srgbClr val="1F4D3D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a-DK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Resultater!$C$16:$G$16</c:f>
              <c:strCache>
                <c:ptCount val="5"/>
                <c:pt idx="0">
                  <c:v>KKFH</c:v>
                </c:pt>
                <c:pt idx="1">
                  <c:v>KKF</c:v>
                </c:pt>
                <c:pt idx="2">
                  <c:v>ATF</c:v>
                </c:pt>
                <c:pt idx="3">
                  <c:v>HYB</c:v>
                </c:pt>
                <c:pt idx="4">
                  <c:v>STD</c:v>
                </c:pt>
              </c:strCache>
            </c:strRef>
          </c:cat>
          <c:val>
            <c:numRef>
              <c:f>Resultater!$C$60:$G$60</c:f>
              <c:numCache>
                <c:formatCode>#,##0</c:formatCode>
                <c:ptCount val="5"/>
                <c:pt idx="0">
                  <c:v>-4835.3760000000002</c:v>
                </c:pt>
                <c:pt idx="1">
                  <c:v>-5372.64</c:v>
                </c:pt>
                <c:pt idx="2">
                  <c:v>-3075.7488584474886</c:v>
                </c:pt>
                <c:pt idx="3">
                  <c:v>-3332.0427397260273</c:v>
                </c:pt>
                <c:pt idx="4">
                  <c:v>-2520.7600000000002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95-4536-8090-729B0CD45297}"/>
            </c:ext>
          </c:extLst>
        </c:ser>
        <c:ser>
          <c:idx val="1"/>
          <c:order val="1"/>
          <c:tx>
            <c:strRef>
              <c:f>Resultater!$B$61</c:f>
              <c:strCache>
                <c:ptCount val="1"/>
                <c:pt idx="0">
                  <c:v>Pasning</c:v>
                </c:pt>
              </c:strCache>
            </c:strRef>
          </c:tx>
          <c:spPr>
            <a:solidFill>
              <a:srgbClr val="4CAF50"/>
            </a:solidFill>
            <a:ln w="9360">
              <a:solidFill>
                <a:srgbClr val="4CAF5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a-DK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Resultater!$C$16:$G$16</c:f>
              <c:strCache>
                <c:ptCount val="5"/>
                <c:pt idx="0">
                  <c:v>KKFH</c:v>
                </c:pt>
                <c:pt idx="1">
                  <c:v>KKF</c:v>
                </c:pt>
                <c:pt idx="2">
                  <c:v>ATF</c:v>
                </c:pt>
                <c:pt idx="3">
                  <c:v>HYB</c:v>
                </c:pt>
                <c:pt idx="4">
                  <c:v>STD</c:v>
                </c:pt>
              </c:strCache>
            </c:strRef>
          </c:cat>
          <c:val>
            <c:numRef>
              <c:f>Resultater!$C$61:$G$61</c:f>
              <c:numCache>
                <c:formatCode>#,##0</c:formatCode>
                <c:ptCount val="5"/>
                <c:pt idx="0">
                  <c:v>-840</c:v>
                </c:pt>
                <c:pt idx="1">
                  <c:v>-700</c:v>
                </c:pt>
                <c:pt idx="2">
                  <c:v>-1400</c:v>
                </c:pt>
                <c:pt idx="3">
                  <c:v>-1120</c:v>
                </c:pt>
                <c:pt idx="4">
                  <c:v>-1680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95-4536-8090-729B0CD45297}"/>
            </c:ext>
          </c:extLst>
        </c:ser>
        <c:ser>
          <c:idx val="2"/>
          <c:order val="2"/>
          <c:tx>
            <c:strRef>
              <c:f>Resultater!$B$62</c:f>
              <c:strCache>
                <c:ptCount val="1"/>
                <c:pt idx="0">
                  <c:v>Strøelse</c:v>
                </c:pt>
              </c:strCache>
            </c:strRef>
          </c:tx>
          <c:spPr>
            <a:solidFill>
              <a:srgbClr val="8BC34A"/>
            </a:solidFill>
            <a:ln w="9360">
              <a:solidFill>
                <a:srgbClr val="8BC34A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a-DK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Resultater!$C$16:$G$16</c:f>
              <c:strCache>
                <c:ptCount val="5"/>
                <c:pt idx="0">
                  <c:v>KKFH</c:v>
                </c:pt>
                <c:pt idx="1">
                  <c:v>KKF</c:v>
                </c:pt>
                <c:pt idx="2">
                  <c:v>ATF</c:v>
                </c:pt>
                <c:pt idx="3">
                  <c:v>HYB</c:v>
                </c:pt>
                <c:pt idx="4">
                  <c:v>STD</c:v>
                </c:pt>
              </c:strCache>
            </c:strRef>
          </c:cat>
          <c:val>
            <c:numRef>
              <c:f>Resultater!$C$62:$G$62</c:f>
              <c:numCache>
                <c:formatCode>#,##0</c:formatCode>
                <c:ptCount val="5"/>
                <c:pt idx="0">
                  <c:v>-268.8</c:v>
                </c:pt>
                <c:pt idx="1">
                  <c:v>-268.8</c:v>
                </c:pt>
                <c:pt idx="2">
                  <c:v>-336</c:v>
                </c:pt>
                <c:pt idx="3">
                  <c:v>-336</c:v>
                </c:pt>
                <c:pt idx="4">
                  <c:v>-201.60000000000002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95-4536-8090-729B0CD45297}"/>
            </c:ext>
          </c:extLst>
        </c:ser>
        <c:ser>
          <c:idx val="3"/>
          <c:order val="3"/>
          <c:tx>
            <c:strRef>
              <c:f>Resultater!$B$63</c:f>
              <c:strCache>
                <c:ptCount val="1"/>
                <c:pt idx="0">
                  <c:v>Kalvefoder</c:v>
                </c:pt>
              </c:strCache>
            </c:strRef>
          </c:tx>
          <c:spPr>
            <a:solidFill>
              <a:srgbClr val="CDDC39"/>
            </a:solidFill>
            <a:ln w="9360">
              <a:solidFill>
                <a:srgbClr val="CDDC3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a-DK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Resultater!$C$16:$G$16</c:f>
              <c:strCache>
                <c:ptCount val="5"/>
                <c:pt idx="0">
                  <c:v>KKFH</c:v>
                </c:pt>
                <c:pt idx="1">
                  <c:v>KKF</c:v>
                </c:pt>
                <c:pt idx="2">
                  <c:v>ATF</c:v>
                </c:pt>
                <c:pt idx="3">
                  <c:v>HYB</c:v>
                </c:pt>
                <c:pt idx="4">
                  <c:v>STD</c:v>
                </c:pt>
              </c:strCache>
            </c:strRef>
          </c:cat>
          <c:val>
            <c:numRef>
              <c:f>Resultater!$C$63:$G$63</c:f>
              <c:numCache>
                <c:formatCode>#,##0</c:formatCode>
                <c:ptCount val="5"/>
                <c:pt idx="0">
                  <c:v>-302.40000000000003</c:v>
                </c:pt>
                <c:pt idx="1">
                  <c:v>-252</c:v>
                </c:pt>
                <c:pt idx="2">
                  <c:v>-369.6</c:v>
                </c:pt>
                <c:pt idx="3">
                  <c:v>-336</c:v>
                </c:pt>
                <c:pt idx="4">
                  <c:v>-369.6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95-4536-8090-729B0CD45297}"/>
            </c:ext>
          </c:extLst>
        </c:ser>
        <c:ser>
          <c:idx val="4"/>
          <c:order val="4"/>
          <c:tx>
            <c:strRef>
              <c:f>Resultater!$B$64</c:f>
              <c:strCache>
                <c:ptCount val="1"/>
                <c:pt idx="0">
                  <c:v>Mælkepulver</c:v>
                </c:pt>
              </c:strCache>
            </c:strRef>
          </c:tx>
          <c:spPr>
            <a:solidFill>
              <a:srgbClr val="FFC107"/>
            </a:solidFill>
            <a:ln w="9360">
              <a:solidFill>
                <a:srgbClr val="FFC107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a-DK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Resultater!$C$16:$G$16</c:f>
              <c:strCache>
                <c:ptCount val="5"/>
                <c:pt idx="0">
                  <c:v>KKFH</c:v>
                </c:pt>
                <c:pt idx="1">
                  <c:v>KKF</c:v>
                </c:pt>
                <c:pt idx="2">
                  <c:v>ATF</c:v>
                </c:pt>
                <c:pt idx="3">
                  <c:v>HYB</c:v>
                </c:pt>
                <c:pt idx="4">
                  <c:v>STD</c:v>
                </c:pt>
              </c:strCache>
            </c:strRef>
          </c:cat>
          <c:val>
            <c:numRef>
              <c:f>Resultater!$C$64:$G$64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95-4536-8090-729B0CD45297}"/>
            </c:ext>
          </c:extLst>
        </c:ser>
        <c:ser>
          <c:idx val="5"/>
          <c:order val="5"/>
          <c:tx>
            <c:strRef>
              <c:f>Resultater!$B$65</c:f>
              <c:strCache>
                <c:ptCount val="1"/>
                <c:pt idx="0">
                  <c:v>Dyrlæge</c:v>
                </c:pt>
              </c:strCache>
            </c:strRef>
          </c:tx>
          <c:spPr>
            <a:solidFill>
              <a:srgbClr val="E67E22"/>
            </a:solidFill>
            <a:ln w="9360">
              <a:solidFill>
                <a:srgbClr val="E67E22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a-DK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Resultater!$C$16:$G$16</c:f>
              <c:strCache>
                <c:ptCount val="5"/>
                <c:pt idx="0">
                  <c:v>KKFH</c:v>
                </c:pt>
                <c:pt idx="1">
                  <c:v>KKF</c:v>
                </c:pt>
                <c:pt idx="2">
                  <c:v>ATF</c:v>
                </c:pt>
                <c:pt idx="3">
                  <c:v>HYB</c:v>
                </c:pt>
                <c:pt idx="4">
                  <c:v>STD</c:v>
                </c:pt>
              </c:strCache>
            </c:strRef>
          </c:cat>
          <c:val>
            <c:numRef>
              <c:f>Resultater!$C$65:$G$65</c:f>
              <c:numCache>
                <c:formatCode>#,##0</c:formatCode>
                <c:ptCount val="5"/>
                <c:pt idx="0">
                  <c:v>-150</c:v>
                </c:pt>
                <c:pt idx="1">
                  <c:v>-150</c:v>
                </c:pt>
                <c:pt idx="2">
                  <c:v>-150</c:v>
                </c:pt>
                <c:pt idx="3">
                  <c:v>-150</c:v>
                </c:pt>
                <c:pt idx="4">
                  <c:v>-150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95-4536-8090-729B0CD45297}"/>
            </c:ext>
          </c:extLst>
        </c:ser>
        <c:ser>
          <c:idx val="6"/>
          <c:order val="6"/>
          <c:tx>
            <c:strRef>
              <c:f>Resultater!$B$66</c:f>
              <c:strCache>
                <c:ptCount val="1"/>
                <c:pt idx="0">
                  <c:v>Arealpris</c:v>
                </c:pt>
              </c:strCache>
            </c:strRef>
          </c:tx>
          <c:spPr>
            <a:solidFill>
              <a:srgbClr val="795548"/>
            </a:solidFill>
            <a:ln w="9360">
              <a:solidFill>
                <a:srgbClr val="795548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a-DK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Resultater!$C$16:$G$16</c:f>
              <c:strCache>
                <c:ptCount val="5"/>
                <c:pt idx="0">
                  <c:v>KKFH</c:v>
                </c:pt>
                <c:pt idx="1">
                  <c:v>KKF</c:v>
                </c:pt>
                <c:pt idx="2">
                  <c:v>ATF</c:v>
                </c:pt>
                <c:pt idx="3">
                  <c:v>HYB</c:v>
                </c:pt>
                <c:pt idx="4">
                  <c:v>STD</c:v>
                </c:pt>
              </c:strCache>
            </c:strRef>
          </c:cat>
          <c:val>
            <c:numRef>
              <c:f>Resultater!$C$66:$G$66</c:f>
              <c:numCache>
                <c:formatCode>#,##0</c:formatCode>
                <c:ptCount val="5"/>
                <c:pt idx="0">
                  <c:v>-750.99452054794517</c:v>
                </c:pt>
                <c:pt idx="1">
                  <c:v>-750.99452054794517</c:v>
                </c:pt>
                <c:pt idx="2">
                  <c:v>-493.76164383561638</c:v>
                </c:pt>
                <c:pt idx="3">
                  <c:v>-543.95342465753424</c:v>
                </c:pt>
                <c:pt idx="4">
                  <c:v>-243.27328767123288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395-4536-8090-729B0CD45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78901"/>
        <c:axId val="23768942"/>
      </c:barChart>
      <c:catAx>
        <c:axId val="37890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chemeClr val="bg1"/>
                </a:solidFill>
                <a:latin typeface="Calibri"/>
              </a:defRPr>
            </a:pPr>
            <a:endParaRPr lang="da-DK"/>
          </a:p>
        </c:txPr>
        <c:crossAx val="23768942"/>
        <c:crosses val="autoZero"/>
        <c:auto val="1"/>
        <c:lblAlgn val="ctr"/>
        <c:lblOffset val="100"/>
        <c:noMultiLvlLbl val="0"/>
      </c:catAx>
      <c:valAx>
        <c:axId val="2376894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da-DK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a-DK" sz="1000" b="1" strike="noStrike" spc="-1">
                    <a:solidFill>
                      <a:srgbClr val="000000"/>
                    </a:solidFill>
                    <a:latin typeface="Calibri"/>
                  </a:rPr>
                  <a:t>kr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a-DK"/>
          </a:p>
        </c:txPr>
        <c:crossAx val="378901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a-DK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lang="da-DK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a-DK" sz="1800" b="1" strike="noStrike" spc="-1">
                <a:solidFill>
                  <a:srgbClr val="000000"/>
                </a:solidFill>
                <a:latin typeface="Calibri"/>
              </a:rPr>
              <a:t>Samlet resultat pr. årsko (kr/år)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9360">
              <a:solidFill>
                <a:srgbClr val="2E7D32"/>
              </a:solidFill>
              <a:round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CAF50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1-6639-4E8E-BF30-4C3DAB73F8C1}"/>
              </c:ext>
            </c:extLst>
          </c:dPt>
          <c:dPt>
            <c:idx val="1"/>
            <c:invertIfNegative val="0"/>
            <c:bubble3D val="0"/>
            <c:spPr>
              <a:solidFill>
                <a:srgbClr val="388E3C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3-6639-4E8E-BF30-4C3DAB73F8C1}"/>
              </c:ext>
            </c:extLst>
          </c:dPt>
          <c:dPt>
            <c:idx val="2"/>
            <c:invertIfNegative val="0"/>
            <c:bubble3D val="0"/>
            <c:spPr>
              <a:solidFill>
                <a:srgbClr val="81C784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5-6639-4E8E-BF30-4C3DAB73F8C1}"/>
              </c:ext>
            </c:extLst>
          </c:dPt>
          <c:dPt>
            <c:idx val="3"/>
            <c:invertIfNegative val="0"/>
            <c:bubble3D val="0"/>
            <c:spPr>
              <a:solidFill>
                <a:srgbClr val="A5D6A7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7-6639-4E8E-BF30-4C3DAB73F8C1}"/>
              </c:ext>
            </c:extLst>
          </c:dPt>
          <c:dPt>
            <c:idx val="4"/>
            <c:invertIfNegative val="0"/>
            <c:bubble3D val="0"/>
            <c:spPr>
              <a:solidFill>
                <a:srgbClr val="2E7D3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9-6639-4E8E-BF30-4C3DAB73F8C1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da-DK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39-4E8E-BF30-4C3DAB73F8C1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da-DK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39-4E8E-BF30-4C3DAB73F8C1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da-DK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39-4E8E-BF30-4C3DAB73F8C1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da-DK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39-4E8E-BF30-4C3DAB73F8C1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da-DK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39-4E8E-BF30-4C3DAB73F8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a-DK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Resultater!$C$16:$G$16</c:f>
              <c:strCache>
                <c:ptCount val="5"/>
                <c:pt idx="0">
                  <c:v>KKFH</c:v>
                </c:pt>
                <c:pt idx="1">
                  <c:v>KKF</c:v>
                </c:pt>
                <c:pt idx="2">
                  <c:v>ATF</c:v>
                </c:pt>
                <c:pt idx="3">
                  <c:v>HYB</c:v>
                </c:pt>
                <c:pt idx="4">
                  <c:v>STD</c:v>
                </c:pt>
              </c:strCache>
            </c:strRef>
          </c:cat>
          <c:val>
            <c:numRef>
              <c:f>Resultater!$C$17:$G$17</c:f>
              <c:numCache>
                <c:formatCode>#,##0</c:formatCode>
                <c:ptCount val="5"/>
                <c:pt idx="0">
                  <c:v>41543.15476516635</c:v>
                </c:pt>
                <c:pt idx="1">
                  <c:v>40982.506479452051</c:v>
                </c:pt>
                <c:pt idx="2">
                  <c:v>42816.640060143509</c:v>
                </c:pt>
                <c:pt idx="3">
                  <c:v>42999.581417221139</c:v>
                </c:pt>
                <c:pt idx="4">
                  <c:v>43379.676712328772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39-4E8E-BF30-4C3DAB73F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443336"/>
        <c:axId val="76605508"/>
      </c:barChart>
      <c:catAx>
        <c:axId val="434433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a-DK"/>
          </a:p>
        </c:txPr>
        <c:crossAx val="76605508"/>
        <c:crosses val="autoZero"/>
        <c:auto val="1"/>
        <c:lblAlgn val="ctr"/>
        <c:lblOffset val="100"/>
        <c:noMultiLvlLbl val="0"/>
      </c:catAx>
      <c:valAx>
        <c:axId val="7660550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da-DK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a-DK" sz="1000" b="1" strike="noStrike" spc="-1">
                    <a:solidFill>
                      <a:srgbClr val="000000"/>
                    </a:solidFill>
                    <a:latin typeface="Calibri"/>
                  </a:rPr>
                  <a:t>kr/år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a-DK"/>
          </a:p>
        </c:txPr>
        <c:crossAx val="43443336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10842</xdr:colOff>
      <xdr:row>20</xdr:row>
      <xdr:rowOff>112060</xdr:rowOff>
    </xdr:from>
    <xdr:to>
      <xdr:col>6</xdr:col>
      <xdr:colOff>952500</xdr:colOff>
      <xdr:row>40</xdr:row>
      <xdr:rowOff>156883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11206</xdr:colOff>
      <xdr:row>20</xdr:row>
      <xdr:rowOff>89647</xdr:rowOff>
    </xdr:from>
    <xdr:to>
      <xdr:col>22</xdr:col>
      <xdr:colOff>549088</xdr:colOff>
      <xdr:row>41</xdr:row>
      <xdr:rowOff>11205</xdr:rowOff>
    </xdr:to>
    <xdr:graphicFrame macro="">
      <xdr:nvGraphicFramePr>
        <xdr:cNvPr id="6" name="Chart 3">
          <a:extLst>
            <a:ext uri="{FF2B5EF4-FFF2-40B4-BE49-F238E27FC236}">
              <a16:creationId xmlns:a16="http://schemas.microsoft.com/office/drawing/2014/main" id="{B844CA46-754E-4112-89E6-1D76AE360E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0</xdr:colOff>
      <xdr:row>1</xdr:row>
      <xdr:rowOff>0</xdr:rowOff>
    </xdr:from>
    <xdr:to>
      <xdr:col>22</xdr:col>
      <xdr:colOff>560294</xdr:colOff>
      <xdr:row>19</xdr:row>
      <xdr:rowOff>56029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7C52E68F-4C1B-441B-9E22-7AE8D0FF1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77"/>
  <sheetViews>
    <sheetView tabSelected="1" zoomScale="85" zoomScaleNormal="85" workbookViewId="0">
      <selection activeCell="H3" sqref="H3"/>
    </sheetView>
  </sheetViews>
  <sheetFormatPr defaultColWidth="8.5703125" defaultRowHeight="15" x14ac:dyDescent="0.25"/>
  <cols>
    <col min="1" max="1" width="3" customWidth="1"/>
    <col min="2" max="2" width="76.140625" bestFit="1" customWidth="1"/>
    <col min="3" max="6" width="14.140625" customWidth="1"/>
    <col min="7" max="7" width="15" customWidth="1"/>
    <col min="8" max="8" width="30" customWidth="1"/>
    <col min="12" max="12" width="50.5703125" customWidth="1"/>
    <col min="13" max="13" width="15.28515625" customWidth="1"/>
    <col min="14" max="14" width="14.5703125" customWidth="1"/>
    <col min="15" max="15" width="12.5703125" customWidth="1"/>
    <col min="16" max="16" width="10.7109375" customWidth="1"/>
    <col min="17" max="17" width="12.42578125" customWidth="1"/>
  </cols>
  <sheetData>
    <row r="1" spans="2:17" ht="17.25" customHeight="1" x14ac:dyDescent="0.3">
      <c r="B1" s="2" t="s">
        <v>0</v>
      </c>
      <c r="C1" s="52" t="s">
        <v>190</v>
      </c>
      <c r="D1" s="52"/>
      <c r="E1" s="52"/>
      <c r="F1" s="52"/>
      <c r="G1" s="52"/>
    </row>
    <row r="2" spans="2:17" ht="15" customHeight="1" x14ac:dyDescent="0.25">
      <c r="B2" s="48" t="s">
        <v>1</v>
      </c>
      <c r="C2" s="48"/>
      <c r="D2" s="48"/>
      <c r="E2" s="48"/>
      <c r="F2" s="48"/>
      <c r="G2" s="48"/>
    </row>
    <row r="4" spans="2:17" ht="15" customHeight="1" x14ac:dyDescent="0.25">
      <c r="B4" s="44" t="s">
        <v>2</v>
      </c>
      <c r="C4" s="44"/>
      <c r="D4" s="44"/>
      <c r="E4" s="44"/>
      <c r="F4" s="44"/>
      <c r="G4" s="44"/>
    </row>
    <row r="5" spans="2:17" ht="14.25" customHeight="1" x14ac:dyDescent="0.25">
      <c r="B5" s="3" t="s">
        <v>3</v>
      </c>
      <c r="C5" s="4">
        <v>269</v>
      </c>
      <c r="D5" s="1" t="s">
        <v>4</v>
      </c>
    </row>
    <row r="6" spans="2:17" ht="14.25" customHeight="1" x14ac:dyDescent="0.25">
      <c r="B6" s="3" t="s">
        <v>149</v>
      </c>
      <c r="C6" s="7">
        <f>C5*1</f>
        <v>269</v>
      </c>
      <c r="D6" s="1" t="s">
        <v>4</v>
      </c>
    </row>
    <row r="7" spans="2:17" ht="14.25" customHeight="1" x14ac:dyDescent="0.25">
      <c r="B7" s="3" t="s">
        <v>5</v>
      </c>
      <c r="C7" s="4">
        <v>3</v>
      </c>
      <c r="D7" s="1" t="s">
        <v>4</v>
      </c>
    </row>
    <row r="8" spans="2:17" ht="14.25" customHeight="1" x14ac:dyDescent="0.25">
      <c r="B8" s="3" t="s">
        <v>138</v>
      </c>
      <c r="C8" s="5">
        <v>0.32500000000000001</v>
      </c>
      <c r="D8" s="1" t="s">
        <v>160</v>
      </c>
    </row>
    <row r="9" spans="2:17" ht="14.25" customHeight="1" x14ac:dyDescent="0.3">
      <c r="B9" s="3"/>
      <c r="C9" s="6"/>
      <c r="D9" s="1"/>
      <c r="L9" s="2"/>
    </row>
    <row r="10" spans="2:17" ht="15" customHeight="1" x14ac:dyDescent="0.25">
      <c r="B10" s="44" t="s">
        <v>6</v>
      </c>
      <c r="C10" s="44"/>
      <c r="D10" s="44"/>
      <c r="E10" s="44"/>
      <c r="F10" s="44"/>
      <c r="G10" s="44"/>
      <c r="L10" s="23"/>
    </row>
    <row r="11" spans="2:17" ht="14.25" customHeight="1" x14ac:dyDescent="0.25">
      <c r="B11" s="3" t="s">
        <v>7</v>
      </c>
      <c r="C11" s="4">
        <v>10639</v>
      </c>
      <c r="D11" s="1" t="s">
        <v>8</v>
      </c>
    </row>
    <row r="12" spans="2:17" ht="14.25" customHeight="1" x14ac:dyDescent="0.25">
      <c r="B12" s="3" t="s">
        <v>9</v>
      </c>
      <c r="C12" s="7">
        <f>C11/365</f>
        <v>29.147945205479452</v>
      </c>
      <c r="D12" s="1" t="s">
        <v>10</v>
      </c>
      <c r="L12" s="46"/>
      <c r="M12" s="46"/>
      <c r="N12" s="46"/>
      <c r="O12" s="46"/>
      <c r="P12" s="46"/>
      <c r="Q12" s="46"/>
    </row>
    <row r="13" spans="2:17" x14ac:dyDescent="0.25">
      <c r="M13" s="36"/>
      <c r="N13" s="36"/>
      <c r="O13" s="36"/>
      <c r="P13" s="36"/>
      <c r="Q13" s="36"/>
    </row>
    <row r="14" spans="2:17" ht="15" customHeight="1" x14ac:dyDescent="0.25">
      <c r="B14" s="44" t="s">
        <v>11</v>
      </c>
      <c r="C14" s="44"/>
      <c r="D14" s="44"/>
      <c r="E14" s="44"/>
      <c r="F14" s="44"/>
      <c r="G14" s="44"/>
      <c r="L14" s="22"/>
      <c r="M14" s="37"/>
      <c r="N14" s="37"/>
      <c r="O14" s="37"/>
      <c r="P14" s="37"/>
      <c r="Q14" s="37"/>
    </row>
    <row r="15" spans="2:17" ht="14.25" customHeight="1" x14ac:dyDescent="0.25">
      <c r="B15" s="3" t="s">
        <v>12</v>
      </c>
      <c r="C15" s="8">
        <v>4.2640000000000002</v>
      </c>
      <c r="D15" s="1" t="s">
        <v>13</v>
      </c>
      <c r="L15" s="14"/>
      <c r="M15" s="26"/>
      <c r="N15" s="26"/>
      <c r="O15" s="26"/>
      <c r="P15" s="26"/>
      <c r="Q15" s="26"/>
    </row>
    <row r="16" spans="2:17" ht="14.25" customHeight="1" x14ac:dyDescent="0.25">
      <c r="B16" s="3" t="s">
        <v>14</v>
      </c>
      <c r="C16" s="8">
        <v>3.7</v>
      </c>
      <c r="D16" s="1" t="s">
        <v>13</v>
      </c>
    </row>
    <row r="17" spans="2:17" ht="14.25" customHeight="1" x14ac:dyDescent="0.25">
      <c r="B17" s="3" t="s">
        <v>15</v>
      </c>
      <c r="C17" s="39">
        <v>0</v>
      </c>
      <c r="D17" s="1" t="s">
        <v>13</v>
      </c>
      <c r="L17" s="46"/>
      <c r="M17" s="46"/>
      <c r="N17" s="46"/>
      <c r="O17" s="46"/>
      <c r="P17" s="46"/>
      <c r="Q17" s="46"/>
    </row>
    <row r="18" spans="2:17" ht="14.25" customHeight="1" x14ac:dyDescent="0.25">
      <c r="B18" s="3" t="s">
        <v>16</v>
      </c>
      <c r="C18" s="4">
        <v>200</v>
      </c>
      <c r="D18" s="1" t="s">
        <v>17</v>
      </c>
      <c r="M18" s="36"/>
      <c r="N18" s="36"/>
      <c r="O18" s="36"/>
      <c r="P18" s="36"/>
      <c r="Q18" s="36"/>
    </row>
    <row r="19" spans="2:17" ht="14.25" customHeight="1" x14ac:dyDescent="0.25">
      <c r="B19" s="3" t="s">
        <v>18</v>
      </c>
      <c r="C19" s="8">
        <v>0.8</v>
      </c>
      <c r="D19" s="1" t="s">
        <v>19</v>
      </c>
      <c r="L19" s="14"/>
      <c r="M19" s="26"/>
      <c r="N19" s="26"/>
      <c r="O19" s="26"/>
      <c r="P19" s="26"/>
      <c r="Q19" s="26"/>
    </row>
    <row r="20" spans="2:17" ht="14.25" customHeight="1" x14ac:dyDescent="0.25">
      <c r="B20" s="3" t="s">
        <v>20</v>
      </c>
      <c r="C20" s="4">
        <v>4</v>
      </c>
      <c r="D20" s="1" t="s">
        <v>19</v>
      </c>
      <c r="L20" s="14"/>
      <c r="M20" s="26"/>
      <c r="N20" s="26"/>
      <c r="O20" s="26"/>
      <c r="P20" s="26"/>
      <c r="Q20" s="26"/>
    </row>
    <row r="21" spans="2:17" ht="14.25" customHeight="1" x14ac:dyDescent="0.25">
      <c r="B21" s="3" t="s">
        <v>21</v>
      </c>
      <c r="C21" s="4">
        <v>52</v>
      </c>
      <c r="D21" s="1" t="s">
        <v>19</v>
      </c>
      <c r="L21" s="22"/>
      <c r="M21" s="37"/>
      <c r="N21" s="37"/>
      <c r="O21" s="37"/>
      <c r="P21" s="37"/>
      <c r="Q21" s="37"/>
    </row>
    <row r="22" spans="2:17" ht="14.25" customHeight="1" x14ac:dyDescent="0.25">
      <c r="B22" s="3" t="s">
        <v>22</v>
      </c>
      <c r="C22" s="4">
        <v>10</v>
      </c>
      <c r="D22" s="1" t="s">
        <v>23</v>
      </c>
    </row>
    <row r="23" spans="2:17" ht="14.25" customHeight="1" x14ac:dyDescent="0.25">
      <c r="B23" s="3" t="s">
        <v>161</v>
      </c>
      <c r="C23" s="4">
        <v>150</v>
      </c>
      <c r="D23" s="1" t="s">
        <v>24</v>
      </c>
      <c r="L23" s="46"/>
      <c r="M23" s="46"/>
      <c r="N23" s="46"/>
      <c r="O23" s="46"/>
      <c r="P23" s="46"/>
      <c r="Q23" s="46"/>
    </row>
    <row r="24" spans="2:17" ht="14.25" customHeight="1" x14ac:dyDescent="0.25">
      <c r="B24" s="3" t="s">
        <v>25</v>
      </c>
      <c r="C24" s="4">
        <v>31</v>
      </c>
      <c r="D24" s="1" t="s">
        <v>19</v>
      </c>
      <c r="M24" s="36"/>
      <c r="N24" s="36"/>
      <c r="O24" s="36"/>
      <c r="P24" s="36"/>
      <c r="Q24" s="36"/>
    </row>
    <row r="25" spans="2:17" ht="18" customHeight="1" x14ac:dyDescent="0.25">
      <c r="L25" s="22"/>
      <c r="M25" s="37"/>
      <c r="N25" s="37"/>
      <c r="O25" s="37"/>
      <c r="P25" s="37"/>
      <c r="Q25" s="37"/>
    </row>
    <row r="26" spans="2:17" ht="15" customHeight="1" x14ac:dyDescent="0.25">
      <c r="B26" s="44" t="s">
        <v>26</v>
      </c>
      <c r="C26" s="44"/>
      <c r="D26" s="44"/>
      <c r="E26" s="44"/>
      <c r="F26" s="44"/>
      <c r="G26" s="44"/>
      <c r="L26" s="14"/>
      <c r="M26" s="26"/>
      <c r="N26" s="26"/>
      <c r="O26" s="26"/>
      <c r="P26" s="26"/>
      <c r="Q26" s="26"/>
    </row>
    <row r="27" spans="2:17" ht="14.25" customHeight="1" x14ac:dyDescent="0.25">
      <c r="B27" s="3" t="s">
        <v>27</v>
      </c>
      <c r="C27" s="8">
        <v>45</v>
      </c>
      <c r="D27" s="1" t="s">
        <v>28</v>
      </c>
      <c r="L27" s="14"/>
      <c r="M27" s="38"/>
      <c r="N27" s="38"/>
      <c r="O27" s="38"/>
      <c r="P27" s="38"/>
      <c r="Q27" s="38"/>
    </row>
    <row r="28" spans="2:17" ht="14.25" customHeight="1" x14ac:dyDescent="0.25">
      <c r="B28" s="3" t="s">
        <v>29</v>
      </c>
      <c r="C28" s="4">
        <v>360</v>
      </c>
      <c r="D28" s="1" t="s">
        <v>28</v>
      </c>
    </row>
    <row r="29" spans="2:17" ht="14.25" customHeight="1" x14ac:dyDescent="0.25">
      <c r="B29" s="3" t="s">
        <v>30</v>
      </c>
      <c r="C29" s="4">
        <v>13</v>
      </c>
      <c r="D29" s="1" t="s">
        <v>31</v>
      </c>
    </row>
    <row r="30" spans="2:17" ht="14.25" customHeight="1" x14ac:dyDescent="0.25">
      <c r="B30" s="3" t="s">
        <v>155</v>
      </c>
      <c r="C30" s="9">
        <f>C29*30</f>
        <v>390</v>
      </c>
      <c r="D30" s="1" t="s">
        <v>32</v>
      </c>
    </row>
    <row r="31" spans="2:17" ht="14.25" customHeight="1" x14ac:dyDescent="0.25">
      <c r="B31" s="3" t="s">
        <v>179</v>
      </c>
      <c r="C31" s="8">
        <v>0.7</v>
      </c>
      <c r="D31" s="1" t="s">
        <v>33</v>
      </c>
    </row>
    <row r="32" spans="2:17" ht="14.25" customHeight="1" x14ac:dyDescent="0.25">
      <c r="B32" s="3" t="s">
        <v>171</v>
      </c>
      <c r="C32" s="9">
        <f>C30-Indtastning!C57-30</f>
        <v>276</v>
      </c>
      <c r="D32" s="1" t="s">
        <v>32</v>
      </c>
    </row>
    <row r="34" spans="2:7" ht="15" customHeight="1" x14ac:dyDescent="0.25">
      <c r="B34" s="44" t="s">
        <v>34</v>
      </c>
      <c r="C34" s="44"/>
      <c r="D34" s="44"/>
      <c r="E34" s="44"/>
      <c r="F34" s="44"/>
      <c r="G34" s="44"/>
    </row>
    <row r="35" spans="2:7" ht="14.25" customHeight="1" x14ac:dyDescent="0.25">
      <c r="B35" s="3" t="s">
        <v>35</v>
      </c>
      <c r="C35" s="8">
        <v>12</v>
      </c>
      <c r="D35" s="1" t="s">
        <v>36</v>
      </c>
    </row>
    <row r="36" spans="2:7" ht="14.25" customHeight="1" x14ac:dyDescent="0.25">
      <c r="B36" s="3" t="s">
        <v>37</v>
      </c>
      <c r="C36" s="8">
        <v>3.6</v>
      </c>
      <c r="D36" s="1" t="s">
        <v>36</v>
      </c>
    </row>
    <row r="37" spans="2:7" ht="14.25" customHeight="1" x14ac:dyDescent="0.25">
      <c r="B37" s="3" t="s">
        <v>139</v>
      </c>
      <c r="C37" s="8">
        <v>2.4</v>
      </c>
      <c r="D37" s="1" t="s">
        <v>36</v>
      </c>
    </row>
    <row r="38" spans="2:7" ht="14.25" customHeight="1" x14ac:dyDescent="0.25">
      <c r="B38" s="3" t="s">
        <v>38</v>
      </c>
      <c r="C38" s="4">
        <v>1714</v>
      </c>
      <c r="D38" s="1" t="s">
        <v>39</v>
      </c>
    </row>
    <row r="39" spans="2:7" ht="14.25" customHeight="1" x14ac:dyDescent="0.25">
      <c r="B39" s="3" t="s">
        <v>40</v>
      </c>
      <c r="C39" s="4">
        <v>1721</v>
      </c>
      <c r="D39" s="1" t="s">
        <v>39</v>
      </c>
    </row>
    <row r="40" spans="2:7" ht="15" customHeight="1" x14ac:dyDescent="0.25">
      <c r="B40" s="48" t="s">
        <v>41</v>
      </c>
      <c r="C40" s="48"/>
      <c r="D40" s="48"/>
      <c r="E40" s="48"/>
      <c r="F40" s="48"/>
      <c r="G40" s="48"/>
    </row>
    <row r="42" spans="2:7" ht="15" customHeight="1" x14ac:dyDescent="0.25">
      <c r="B42" s="44" t="s">
        <v>42</v>
      </c>
      <c r="C42" s="44"/>
      <c r="D42" s="44"/>
      <c r="E42" s="44"/>
      <c r="F42" s="44"/>
      <c r="G42" s="44"/>
    </row>
    <row r="43" spans="2:7" ht="14.25" customHeight="1" x14ac:dyDescent="0.25">
      <c r="B43" s="3" t="s">
        <v>43</v>
      </c>
      <c r="C43" s="4">
        <v>15</v>
      </c>
      <c r="D43" s="1" t="s">
        <v>44</v>
      </c>
    </row>
    <row r="44" spans="2:7" ht="14.25" customHeight="1" x14ac:dyDescent="0.25">
      <c r="B44" s="3" t="s">
        <v>45</v>
      </c>
      <c r="C44" s="4">
        <v>12</v>
      </c>
      <c r="D44" s="1" t="s">
        <v>44</v>
      </c>
    </row>
    <row r="45" spans="2:7" ht="14.25" customHeight="1" x14ac:dyDescent="0.25">
      <c r="B45" s="3" t="s">
        <v>46</v>
      </c>
      <c r="C45" s="4">
        <v>8</v>
      </c>
      <c r="D45" s="1" t="s">
        <v>44</v>
      </c>
    </row>
    <row r="46" spans="2:7" ht="14.25" customHeight="1" x14ac:dyDescent="0.25">
      <c r="B46" s="3" t="s">
        <v>47</v>
      </c>
      <c r="C46" s="7">
        <f>C12/C7</f>
        <v>9.7159817351598168</v>
      </c>
      <c r="D46" s="1" t="s">
        <v>44</v>
      </c>
    </row>
    <row r="47" spans="2:7" ht="15" customHeight="1" x14ac:dyDescent="0.25">
      <c r="B47" s="48" t="s">
        <v>162</v>
      </c>
      <c r="C47" s="48"/>
      <c r="D47" s="48"/>
      <c r="E47" s="48"/>
      <c r="F47" s="48"/>
      <c r="G47" s="48"/>
    </row>
    <row r="49" spans="2:16" ht="15" customHeight="1" x14ac:dyDescent="0.25">
      <c r="B49" s="44" t="s">
        <v>48</v>
      </c>
      <c r="C49" s="44"/>
      <c r="D49" s="44"/>
      <c r="E49" s="44"/>
      <c r="F49" s="44"/>
      <c r="G49" s="44"/>
    </row>
    <row r="50" spans="2:16" ht="14.25" customHeight="1" x14ac:dyDescent="0.25">
      <c r="C50" s="10" t="s">
        <v>49</v>
      </c>
      <c r="D50" s="10" t="s">
        <v>50</v>
      </c>
      <c r="E50" s="10" t="s">
        <v>51</v>
      </c>
      <c r="F50" s="10" t="s">
        <v>52</v>
      </c>
      <c r="G50" s="10" t="s">
        <v>53</v>
      </c>
    </row>
    <row r="51" spans="2:16" ht="36.75" x14ac:dyDescent="0.25">
      <c r="C51" s="11" t="s">
        <v>141</v>
      </c>
      <c r="D51" s="11" t="s">
        <v>140</v>
      </c>
      <c r="E51" s="11" t="s">
        <v>54</v>
      </c>
      <c r="F51" s="11" t="s">
        <v>55</v>
      </c>
      <c r="G51" s="11" t="s">
        <v>56</v>
      </c>
      <c r="L51" s="34"/>
      <c r="M51" s="34"/>
      <c r="N51" s="34"/>
      <c r="O51" s="34"/>
      <c r="P51" s="34"/>
    </row>
    <row r="52" spans="2:16" ht="15" customHeight="1" x14ac:dyDescent="0.25">
      <c r="B52" s="45" t="s">
        <v>57</v>
      </c>
      <c r="C52" s="45"/>
      <c r="D52" s="45"/>
      <c r="E52" s="45"/>
      <c r="F52" s="45"/>
      <c r="G52" s="45"/>
      <c r="L52" s="35"/>
      <c r="M52" s="35"/>
      <c r="N52" s="35"/>
      <c r="O52" s="35"/>
      <c r="P52" s="35"/>
    </row>
    <row r="53" spans="2:16" ht="14.25" customHeight="1" x14ac:dyDescent="0.25">
      <c r="B53" s="3" t="s">
        <v>58</v>
      </c>
      <c r="C53" s="4">
        <v>42</v>
      </c>
      <c r="D53" s="4">
        <v>84</v>
      </c>
      <c r="E53" s="4">
        <v>2</v>
      </c>
      <c r="F53" s="4">
        <v>3</v>
      </c>
      <c r="G53" s="4">
        <v>1</v>
      </c>
      <c r="L53" s="32"/>
      <c r="M53" s="32"/>
      <c r="N53" s="32"/>
      <c r="O53" s="32"/>
      <c r="P53" s="32"/>
    </row>
    <row r="54" spans="2:16" ht="14.25" customHeight="1" x14ac:dyDescent="0.25">
      <c r="B54" s="3" t="s">
        <v>59</v>
      </c>
      <c r="C54" s="4">
        <v>42</v>
      </c>
      <c r="D54" s="4">
        <v>0</v>
      </c>
      <c r="E54" s="4">
        <v>0</v>
      </c>
      <c r="F54" s="4">
        <v>15</v>
      </c>
      <c r="G54" s="4">
        <v>0</v>
      </c>
      <c r="L54" s="32"/>
      <c r="M54" s="32"/>
      <c r="N54" s="32"/>
      <c r="O54" s="32"/>
      <c r="P54" s="32"/>
    </row>
    <row r="55" spans="2:16" ht="14.25" customHeight="1" x14ac:dyDescent="0.25">
      <c r="B55" s="3" t="s">
        <v>60</v>
      </c>
      <c r="C55" s="4">
        <v>0</v>
      </c>
      <c r="D55" s="4">
        <v>0</v>
      </c>
      <c r="E55" s="4">
        <v>82</v>
      </c>
      <c r="F55" s="4">
        <v>66</v>
      </c>
      <c r="G55" s="4">
        <v>0</v>
      </c>
      <c r="L55" s="32"/>
      <c r="M55" s="32"/>
      <c r="N55" s="32"/>
      <c r="O55" s="32"/>
      <c r="P55" s="32"/>
    </row>
    <row r="56" spans="2:16" ht="14.25" customHeight="1" x14ac:dyDescent="0.25">
      <c r="B56" s="3" t="s">
        <v>61</v>
      </c>
      <c r="C56" s="4">
        <v>0</v>
      </c>
      <c r="D56" s="4">
        <v>0</v>
      </c>
      <c r="E56" s="4">
        <v>0</v>
      </c>
      <c r="F56" s="4">
        <v>0</v>
      </c>
      <c r="G56" s="4">
        <v>83</v>
      </c>
      <c r="L56" s="32"/>
      <c r="M56" s="32"/>
      <c r="N56" s="32"/>
      <c r="O56" s="32"/>
      <c r="P56" s="32"/>
    </row>
    <row r="57" spans="2:16" ht="14.1" customHeight="1" x14ac:dyDescent="0.25">
      <c r="B57" s="3" t="s">
        <v>178</v>
      </c>
      <c r="C57" s="9">
        <f>SUM(C53:C56)</f>
        <v>84</v>
      </c>
      <c r="D57" s="9">
        <f>SUM(D53:D56)</f>
        <v>84</v>
      </c>
      <c r="E57" s="9">
        <f>SUM(E53:E56)</f>
        <v>84</v>
      </c>
      <c r="F57" s="9">
        <f>SUM(F53:F56)</f>
        <v>84</v>
      </c>
      <c r="G57" s="9">
        <f>SUM(G53:G56)</f>
        <v>84</v>
      </c>
    </row>
    <row r="59" spans="2:16" ht="15" customHeight="1" x14ac:dyDescent="0.25">
      <c r="B59" s="45" t="s">
        <v>142</v>
      </c>
      <c r="C59" s="45"/>
      <c r="D59" s="45"/>
      <c r="E59" s="45"/>
      <c r="F59" s="45"/>
      <c r="G59" s="45"/>
    </row>
    <row r="60" spans="2:16" ht="15" customHeight="1" x14ac:dyDescent="0.25">
      <c r="B60" s="47" t="s">
        <v>143</v>
      </c>
      <c r="C60" s="47"/>
      <c r="D60" s="47"/>
      <c r="E60" s="47"/>
      <c r="F60" s="47"/>
      <c r="G60" s="47"/>
    </row>
    <row r="61" spans="2:16" ht="14.25" customHeight="1" x14ac:dyDescent="0.25">
      <c r="B61" s="3" t="s">
        <v>144</v>
      </c>
      <c r="C61" s="8">
        <v>2.5</v>
      </c>
      <c r="D61" s="8">
        <v>2.5</v>
      </c>
      <c r="E61" s="8">
        <v>2.5</v>
      </c>
      <c r="F61" s="8">
        <v>2.5</v>
      </c>
      <c r="G61" s="8">
        <v>2.5</v>
      </c>
    </row>
    <row r="62" spans="2:16" ht="14.25" customHeight="1" x14ac:dyDescent="0.25">
      <c r="B62" s="3" t="s">
        <v>145</v>
      </c>
      <c r="C62" s="8">
        <v>5</v>
      </c>
      <c r="D62" s="8">
        <v>5</v>
      </c>
      <c r="E62" s="8">
        <v>5</v>
      </c>
      <c r="F62" s="8">
        <v>5</v>
      </c>
      <c r="G62" s="8">
        <v>5</v>
      </c>
    </row>
    <row r="63" spans="2:16" x14ac:dyDescent="0.25">
      <c r="B63" s="3" t="s">
        <v>150</v>
      </c>
      <c r="C63" s="9">
        <f t="shared" ref="C63:F63" si="0">C54*C61+C62*C53</f>
        <v>315</v>
      </c>
      <c r="D63" s="9">
        <f>D54*D61+D62*D53</f>
        <v>420</v>
      </c>
      <c r="E63" s="9">
        <f t="shared" si="0"/>
        <v>10</v>
      </c>
      <c r="F63" s="9">
        <f t="shared" si="0"/>
        <v>52.5</v>
      </c>
      <c r="G63" s="9">
        <f>G54*G61+G62*G53</f>
        <v>5</v>
      </c>
    </row>
    <row r="64" spans="2:16" x14ac:dyDescent="0.25">
      <c r="B64" s="3"/>
      <c r="C64" s="33"/>
      <c r="D64" s="33"/>
      <c r="E64" s="33"/>
      <c r="F64" s="33"/>
      <c r="G64" s="33"/>
    </row>
    <row r="65" spans="2:7" ht="15" customHeight="1" x14ac:dyDescent="0.25">
      <c r="B65" s="45" t="s">
        <v>165</v>
      </c>
      <c r="C65" s="45"/>
      <c r="D65" s="45"/>
      <c r="E65" s="45"/>
      <c r="F65" s="45"/>
      <c r="G65" s="45"/>
    </row>
    <row r="66" spans="2:7" ht="14.25" customHeight="1" x14ac:dyDescent="0.25">
      <c r="B66" s="3" t="s">
        <v>164</v>
      </c>
      <c r="C66" s="39">
        <v>1.3</v>
      </c>
      <c r="D66" s="39">
        <v>1.4</v>
      </c>
      <c r="E66" s="39">
        <v>1</v>
      </c>
      <c r="F66" s="39">
        <v>1.1000000000000001</v>
      </c>
      <c r="G66" s="39">
        <v>0.85</v>
      </c>
    </row>
    <row r="67" spans="2:7" ht="14.25" customHeight="1" x14ac:dyDescent="0.25">
      <c r="B67" s="3" t="s">
        <v>166</v>
      </c>
      <c r="C67" s="39">
        <v>0.8</v>
      </c>
      <c r="D67" s="39">
        <v>0.7</v>
      </c>
      <c r="E67" s="39">
        <v>0.75</v>
      </c>
      <c r="F67" s="39">
        <v>0.75</v>
      </c>
      <c r="G67" s="39">
        <v>0.85</v>
      </c>
    </row>
    <row r="69" spans="2:7" ht="15" customHeight="1" x14ac:dyDescent="0.25">
      <c r="B69" s="45" t="s">
        <v>62</v>
      </c>
      <c r="C69" s="45"/>
      <c r="D69" s="45"/>
      <c r="E69" s="45"/>
      <c r="F69" s="45"/>
      <c r="G69" s="45"/>
    </row>
    <row r="70" spans="2:7" ht="14.25" customHeight="1" x14ac:dyDescent="0.25">
      <c r="B70" s="3" t="s">
        <v>146</v>
      </c>
      <c r="C70" s="8">
        <v>3</v>
      </c>
      <c r="D70" s="8">
        <v>2.5</v>
      </c>
      <c r="E70" s="8">
        <v>5</v>
      </c>
      <c r="F70" s="8">
        <v>4</v>
      </c>
      <c r="G70" s="8">
        <v>6</v>
      </c>
    </row>
    <row r="71" spans="2:7" ht="14.25" customHeight="1" x14ac:dyDescent="0.25">
      <c r="B71" s="3" t="s">
        <v>147</v>
      </c>
      <c r="C71" s="7">
        <f>C70*$C$18/60</f>
        <v>10</v>
      </c>
      <c r="D71" s="7">
        <f t="shared" ref="D71:G71" si="1">D70*$C$18/60</f>
        <v>8.3333333333333339</v>
      </c>
      <c r="E71" s="7">
        <f t="shared" si="1"/>
        <v>16.666666666666668</v>
      </c>
      <c r="F71" s="7">
        <f t="shared" si="1"/>
        <v>13.333333333333334</v>
      </c>
      <c r="G71" s="7">
        <f t="shared" si="1"/>
        <v>20</v>
      </c>
    </row>
    <row r="72" spans="2:7" ht="14.25" customHeight="1" x14ac:dyDescent="0.25">
      <c r="B72" s="3" t="s">
        <v>163</v>
      </c>
      <c r="C72" s="8">
        <v>10</v>
      </c>
      <c r="D72" s="8">
        <v>10</v>
      </c>
      <c r="E72" s="8">
        <v>10</v>
      </c>
      <c r="F72" s="8">
        <v>10</v>
      </c>
      <c r="G72" s="8">
        <v>10</v>
      </c>
    </row>
    <row r="73" spans="2:7" ht="14.25" customHeight="1" x14ac:dyDescent="0.25">
      <c r="B73" s="3" t="s">
        <v>148</v>
      </c>
      <c r="C73" s="8">
        <v>4</v>
      </c>
      <c r="D73" s="8">
        <v>4</v>
      </c>
      <c r="E73" s="8">
        <v>5</v>
      </c>
      <c r="F73" s="8">
        <v>5</v>
      </c>
      <c r="G73" s="8">
        <v>3</v>
      </c>
    </row>
    <row r="75" spans="2:7" ht="15" customHeight="1" x14ac:dyDescent="0.25">
      <c r="B75" s="45" t="s">
        <v>63</v>
      </c>
      <c r="C75" s="45"/>
      <c r="D75" s="45"/>
      <c r="E75" s="45"/>
      <c r="F75" s="45"/>
      <c r="G75" s="45"/>
    </row>
    <row r="76" spans="2:7" ht="14.25" customHeight="1" x14ac:dyDescent="0.25">
      <c r="B76" s="3" t="s">
        <v>64</v>
      </c>
      <c r="C76" s="8">
        <v>0.9</v>
      </c>
      <c r="D76" s="8">
        <v>0.75</v>
      </c>
      <c r="E76" s="8">
        <v>1.1000000000000001</v>
      </c>
      <c r="F76" s="8">
        <v>1</v>
      </c>
      <c r="G76" s="8">
        <v>1.1000000000000001</v>
      </c>
    </row>
    <row r="77" spans="2:7" ht="14.25" customHeight="1" x14ac:dyDescent="0.25">
      <c r="B77" s="3" t="s">
        <v>65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</row>
  </sheetData>
  <mergeCells count="20">
    <mergeCell ref="C1:G1"/>
    <mergeCell ref="B2:G2"/>
    <mergeCell ref="B4:G4"/>
    <mergeCell ref="B10:G10"/>
    <mergeCell ref="B14:G14"/>
    <mergeCell ref="B26:G26"/>
    <mergeCell ref="B75:G75"/>
    <mergeCell ref="L12:Q12"/>
    <mergeCell ref="L17:Q17"/>
    <mergeCell ref="L23:Q23"/>
    <mergeCell ref="B52:G52"/>
    <mergeCell ref="B59:G59"/>
    <mergeCell ref="B60:G60"/>
    <mergeCell ref="B65:G65"/>
    <mergeCell ref="B69:G69"/>
    <mergeCell ref="B34:G34"/>
    <mergeCell ref="B40:G40"/>
    <mergeCell ref="B42:G42"/>
    <mergeCell ref="B47:G47"/>
    <mergeCell ref="B49:G49"/>
  </mergeCells>
  <pageMargins left="0.75" right="0.75" top="1" bottom="1" header="0.511811023622047" footer="0.511811023622047"/>
  <pageSetup paperSize="9" scale="50" orientation="portrait" horizontalDpi="300" verticalDpi="300"/>
  <cellWatches>
    <cellWatch r="B4"/>
    <cellWatch r="B5"/>
    <cellWatch r="B7"/>
    <cellWatch r="B8"/>
    <cellWatch r="B9"/>
    <cellWatch r="B10"/>
    <cellWatch r="B11"/>
    <cellWatch r="B12"/>
    <cellWatch r="B13"/>
    <cellWatch r="B14"/>
    <cellWatch r="B15"/>
    <cellWatch r="B16"/>
    <cellWatch r="B17"/>
    <cellWatch r="B18"/>
    <cellWatch r="B19"/>
    <cellWatch r="B20"/>
    <cellWatch r="B21"/>
    <cellWatch r="B22"/>
    <cellWatch r="B23"/>
    <cellWatch r="B24"/>
    <cellWatch r="B25"/>
    <cellWatch r="B26"/>
    <cellWatch r="B27"/>
    <cellWatch r="B28"/>
    <cellWatch r="B29"/>
    <cellWatch r="B30"/>
    <cellWatch r="B31"/>
    <cellWatch r="B32"/>
    <cellWatch r="B33"/>
    <cellWatch r="B34"/>
    <cellWatch r="B35"/>
    <cellWatch r="B36"/>
    <cellWatch r="B37"/>
    <cellWatch r="B38"/>
    <cellWatch r="B39"/>
    <cellWatch r="B40"/>
    <cellWatch r="B41"/>
    <cellWatch r="B42"/>
    <cellWatch r="B43"/>
    <cellWatch r="B44"/>
    <cellWatch r="B45"/>
    <cellWatch r="B46"/>
    <cellWatch r="B47"/>
    <cellWatch r="B48"/>
    <cellWatch r="B49"/>
    <cellWatch r="B50"/>
    <cellWatch r="B51"/>
    <cellWatch r="B52"/>
    <cellWatch r="B53"/>
    <cellWatch r="B54"/>
    <cellWatch r="B55"/>
    <cellWatch r="B56"/>
    <cellWatch r="B57"/>
    <cellWatch r="B58"/>
    <cellWatch r="B59"/>
    <cellWatch r="B60"/>
    <cellWatch r="B61"/>
    <cellWatch r="B62"/>
    <cellWatch r="B63"/>
    <cellWatch r="B65"/>
    <cellWatch r="B66"/>
    <cellWatch r="B67"/>
    <cellWatch r="B68"/>
    <cellWatch r="B69"/>
    <cellWatch r="B70"/>
    <cellWatch r="B71"/>
    <cellWatch r="B72"/>
    <cellWatch r="B73"/>
    <cellWatch r="B74"/>
    <cellWatch r="B75"/>
    <cellWatch r="B76"/>
    <cellWatch r="B77"/>
    <cellWatch r="C5"/>
    <cellWatch r="C7"/>
    <cellWatch r="C8"/>
    <cellWatch r="C9"/>
    <cellWatch r="C11"/>
    <cellWatch r="C12"/>
    <cellWatch r="C13"/>
    <cellWatch r="C15"/>
    <cellWatch r="C16"/>
    <cellWatch r="C17"/>
    <cellWatch r="C18"/>
    <cellWatch r="C19"/>
    <cellWatch r="C20"/>
    <cellWatch r="C21"/>
    <cellWatch r="C22"/>
    <cellWatch r="C23"/>
    <cellWatch r="C24"/>
    <cellWatch r="C25"/>
    <cellWatch r="C27"/>
    <cellWatch r="C28"/>
    <cellWatch r="C29"/>
    <cellWatch r="C30"/>
    <cellWatch r="C31"/>
    <cellWatch r="C32"/>
    <cellWatch r="C33"/>
    <cellWatch r="C35"/>
    <cellWatch r="C36"/>
    <cellWatch r="C37"/>
    <cellWatch r="C38"/>
    <cellWatch r="C39"/>
    <cellWatch r="C41"/>
    <cellWatch r="C43"/>
    <cellWatch r="C44"/>
    <cellWatch r="C45"/>
    <cellWatch r="C46"/>
    <cellWatch r="C48"/>
    <cellWatch r="C50"/>
    <cellWatch r="C51"/>
    <cellWatch r="C53"/>
    <cellWatch r="C54"/>
    <cellWatch r="C55"/>
    <cellWatch r="C56"/>
    <cellWatch r="C57"/>
    <cellWatch r="C58"/>
    <cellWatch r="C61"/>
    <cellWatch r="C62"/>
    <cellWatch r="C63"/>
    <cellWatch r="C66"/>
    <cellWatch r="C67"/>
    <cellWatch r="C68"/>
    <cellWatch r="C70"/>
    <cellWatch r="C71"/>
    <cellWatch r="C72"/>
    <cellWatch r="C73"/>
    <cellWatch r="C74"/>
    <cellWatch r="C76"/>
    <cellWatch r="C77"/>
    <cellWatch r="D5"/>
    <cellWatch r="D7"/>
    <cellWatch r="D8"/>
    <cellWatch r="D9"/>
    <cellWatch r="D11"/>
    <cellWatch r="D12"/>
    <cellWatch r="D13"/>
    <cellWatch r="D15"/>
    <cellWatch r="D16"/>
    <cellWatch r="D17"/>
    <cellWatch r="D18"/>
    <cellWatch r="D19"/>
    <cellWatch r="D20"/>
    <cellWatch r="D21"/>
    <cellWatch r="D22"/>
    <cellWatch r="D23"/>
    <cellWatch r="D24"/>
    <cellWatch r="D25"/>
    <cellWatch r="D27"/>
    <cellWatch r="D28"/>
    <cellWatch r="D29"/>
    <cellWatch r="D30"/>
    <cellWatch r="D31"/>
    <cellWatch r="D32"/>
    <cellWatch r="D33"/>
    <cellWatch r="D35"/>
    <cellWatch r="D36"/>
    <cellWatch r="D37"/>
    <cellWatch r="D38"/>
    <cellWatch r="D39"/>
    <cellWatch r="D41"/>
    <cellWatch r="D43"/>
    <cellWatch r="D44"/>
    <cellWatch r="D45"/>
    <cellWatch r="D46"/>
    <cellWatch r="D48"/>
    <cellWatch r="D50"/>
    <cellWatch r="D51"/>
    <cellWatch r="D53"/>
    <cellWatch r="D54"/>
    <cellWatch r="D55"/>
    <cellWatch r="D56"/>
    <cellWatch r="D57"/>
    <cellWatch r="D58"/>
    <cellWatch r="D61"/>
    <cellWatch r="D62"/>
    <cellWatch r="D63"/>
    <cellWatch r="D66"/>
    <cellWatch r="D67"/>
    <cellWatch r="D68"/>
    <cellWatch r="D70"/>
    <cellWatch r="D71"/>
    <cellWatch r="D72"/>
    <cellWatch r="D73"/>
    <cellWatch r="D74"/>
    <cellWatch r="D76"/>
    <cellWatch r="D77"/>
    <cellWatch r="E5"/>
    <cellWatch r="E7"/>
    <cellWatch r="E8"/>
    <cellWatch r="E9"/>
    <cellWatch r="E11"/>
    <cellWatch r="E12"/>
    <cellWatch r="E13"/>
    <cellWatch r="E15"/>
    <cellWatch r="E16"/>
    <cellWatch r="E17"/>
    <cellWatch r="E18"/>
    <cellWatch r="E19"/>
    <cellWatch r="E20"/>
    <cellWatch r="E21"/>
    <cellWatch r="E22"/>
    <cellWatch r="E23"/>
    <cellWatch r="E24"/>
    <cellWatch r="E25"/>
    <cellWatch r="E27"/>
    <cellWatch r="E28"/>
    <cellWatch r="E29"/>
    <cellWatch r="E30"/>
    <cellWatch r="E31"/>
    <cellWatch r="E32"/>
    <cellWatch r="E33"/>
    <cellWatch r="E35"/>
    <cellWatch r="E36"/>
    <cellWatch r="E37"/>
    <cellWatch r="E38"/>
    <cellWatch r="E39"/>
    <cellWatch r="E41"/>
    <cellWatch r="E43"/>
    <cellWatch r="E44"/>
    <cellWatch r="E45"/>
    <cellWatch r="E46"/>
    <cellWatch r="E48"/>
    <cellWatch r="E50"/>
    <cellWatch r="E51"/>
    <cellWatch r="E53"/>
    <cellWatch r="E54"/>
    <cellWatch r="E55"/>
    <cellWatch r="E56"/>
    <cellWatch r="E57"/>
    <cellWatch r="E58"/>
    <cellWatch r="E61"/>
    <cellWatch r="E62"/>
    <cellWatch r="E63"/>
    <cellWatch r="E66"/>
    <cellWatch r="E67"/>
    <cellWatch r="E68"/>
    <cellWatch r="E70"/>
    <cellWatch r="E71"/>
    <cellWatch r="E72"/>
    <cellWatch r="E73"/>
    <cellWatch r="E74"/>
    <cellWatch r="E76"/>
    <cellWatch r="E77"/>
    <cellWatch r="F5"/>
    <cellWatch r="F7"/>
    <cellWatch r="F8"/>
    <cellWatch r="F9"/>
    <cellWatch r="F11"/>
    <cellWatch r="F12"/>
    <cellWatch r="F13"/>
    <cellWatch r="F15"/>
    <cellWatch r="F16"/>
    <cellWatch r="F17"/>
    <cellWatch r="F18"/>
    <cellWatch r="F19"/>
    <cellWatch r="F20"/>
    <cellWatch r="F21"/>
    <cellWatch r="F22"/>
    <cellWatch r="F23"/>
    <cellWatch r="F24"/>
    <cellWatch r="F25"/>
    <cellWatch r="F27"/>
    <cellWatch r="F28"/>
    <cellWatch r="F29"/>
    <cellWatch r="F30"/>
    <cellWatch r="F31"/>
    <cellWatch r="F32"/>
    <cellWatch r="F33"/>
    <cellWatch r="F35"/>
    <cellWatch r="F36"/>
    <cellWatch r="F37"/>
    <cellWatch r="F38"/>
    <cellWatch r="F39"/>
    <cellWatch r="F41"/>
    <cellWatch r="F43"/>
    <cellWatch r="F44"/>
    <cellWatch r="F45"/>
    <cellWatch r="F46"/>
    <cellWatch r="F48"/>
    <cellWatch r="F50"/>
    <cellWatch r="F51"/>
    <cellWatch r="F53"/>
    <cellWatch r="F54"/>
    <cellWatch r="F55"/>
    <cellWatch r="F56"/>
    <cellWatch r="F57"/>
    <cellWatch r="F58"/>
    <cellWatch r="F61"/>
    <cellWatch r="F62"/>
    <cellWatch r="F63"/>
    <cellWatch r="F66"/>
    <cellWatch r="F67"/>
    <cellWatch r="F68"/>
    <cellWatch r="F70"/>
    <cellWatch r="F71"/>
    <cellWatch r="F72"/>
    <cellWatch r="F73"/>
    <cellWatch r="F74"/>
    <cellWatch r="F76"/>
    <cellWatch r="F77"/>
    <cellWatch r="G5"/>
    <cellWatch r="G7"/>
    <cellWatch r="G8"/>
    <cellWatch r="G9"/>
    <cellWatch r="G11"/>
    <cellWatch r="G12"/>
    <cellWatch r="G13"/>
    <cellWatch r="G15"/>
    <cellWatch r="G16"/>
    <cellWatch r="G17"/>
    <cellWatch r="G18"/>
    <cellWatch r="G19"/>
    <cellWatch r="G20"/>
    <cellWatch r="G21"/>
    <cellWatch r="G22"/>
    <cellWatch r="G23"/>
    <cellWatch r="G24"/>
    <cellWatch r="G25"/>
    <cellWatch r="G27"/>
    <cellWatch r="G28"/>
    <cellWatch r="G29"/>
    <cellWatch r="G30"/>
    <cellWatch r="G31"/>
    <cellWatch r="G32"/>
    <cellWatch r="G33"/>
    <cellWatch r="G35"/>
    <cellWatch r="G36"/>
    <cellWatch r="G37"/>
    <cellWatch r="G38"/>
    <cellWatch r="G39"/>
    <cellWatch r="G41"/>
    <cellWatch r="G43"/>
    <cellWatch r="G44"/>
    <cellWatch r="G45"/>
    <cellWatch r="G46"/>
    <cellWatch r="G48"/>
    <cellWatch r="G50"/>
    <cellWatch r="G51"/>
    <cellWatch r="G53"/>
    <cellWatch r="G54"/>
    <cellWatch r="G55"/>
    <cellWatch r="G56"/>
    <cellWatch r="G57"/>
    <cellWatch r="G58"/>
    <cellWatch r="G61"/>
    <cellWatch r="G62"/>
    <cellWatch r="G63"/>
    <cellWatch r="G66"/>
    <cellWatch r="G67"/>
    <cellWatch r="G68"/>
    <cellWatch r="G70"/>
    <cellWatch r="G71"/>
    <cellWatch r="G72"/>
    <cellWatch r="G73"/>
    <cellWatch r="G74"/>
    <cellWatch r="G76"/>
    <cellWatch r="G77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99"/>
  <sheetViews>
    <sheetView zoomScale="85" zoomScaleNormal="85" workbookViewId="0">
      <selection activeCell="N38" sqref="N38"/>
    </sheetView>
  </sheetViews>
  <sheetFormatPr defaultColWidth="8.5703125" defaultRowHeight="15" x14ac:dyDescent="0.25"/>
  <cols>
    <col min="1" max="1" width="3" customWidth="1"/>
    <col min="2" max="2" width="76.85546875" bestFit="1" customWidth="1"/>
    <col min="3" max="7" width="17" customWidth="1"/>
  </cols>
  <sheetData>
    <row r="1" spans="2:8" ht="17.25" customHeight="1" x14ac:dyDescent="0.3">
      <c r="B1" s="12" t="s">
        <v>66</v>
      </c>
    </row>
    <row r="2" spans="2:8" ht="24" x14ac:dyDescent="0.25">
      <c r="C2" s="40" t="s">
        <v>141</v>
      </c>
      <c r="D2" s="40" t="s">
        <v>140</v>
      </c>
      <c r="E2" s="40" t="s">
        <v>54</v>
      </c>
      <c r="F2" s="40" t="s">
        <v>55</v>
      </c>
      <c r="G2" s="40" t="s">
        <v>56</v>
      </c>
    </row>
    <row r="3" spans="2:8" ht="15" customHeight="1" x14ac:dyDescent="0.25">
      <c r="B3" s="44" t="s">
        <v>67</v>
      </c>
      <c r="C3" s="44"/>
      <c r="D3" s="44"/>
      <c r="E3" s="44"/>
      <c r="F3" s="44"/>
      <c r="G3" s="44"/>
    </row>
    <row r="4" spans="2:8" ht="14.25" customHeight="1" x14ac:dyDescent="0.25">
      <c r="C4" s="13" t="s">
        <v>49</v>
      </c>
      <c r="D4" s="13" t="s">
        <v>50</v>
      </c>
      <c r="E4" s="13" t="s">
        <v>51</v>
      </c>
      <c r="F4" s="13" t="s">
        <v>52</v>
      </c>
      <c r="G4" s="13" t="s">
        <v>53</v>
      </c>
    </row>
    <row r="5" spans="2:8" ht="15" customHeight="1" x14ac:dyDescent="0.25">
      <c r="B5" s="50" t="s">
        <v>68</v>
      </c>
      <c r="C5" s="50"/>
      <c r="D5" s="50"/>
      <c r="E5" s="50"/>
      <c r="F5" s="50"/>
      <c r="G5" s="50"/>
    </row>
    <row r="6" spans="2:8" ht="14.25" customHeight="1" x14ac:dyDescent="0.25">
      <c r="B6" s="14" t="s">
        <v>69</v>
      </c>
      <c r="C6" s="15">
        <f>Indtastning!$C$43*Indtastning!$C$15*Indtastning!C53</f>
        <v>2686.32</v>
      </c>
      <c r="D6" s="15">
        <f>Indtastning!$C$43*Indtastning!$C$15*Indtastning!D53</f>
        <v>5372.64</v>
      </c>
      <c r="E6" s="15">
        <f>Indtastning!$C$43*Indtastning!$C$15*Indtastning!E53</f>
        <v>127.92</v>
      </c>
      <c r="F6" s="15">
        <f>Indtastning!$C$43*Indtastning!$C$15*Indtastning!F53</f>
        <v>191.88</v>
      </c>
      <c r="G6" s="15">
        <f>Indtastning!$C$43*Indtastning!$C$15*Indtastning!G53</f>
        <v>63.96</v>
      </c>
    </row>
    <row r="7" spans="2:8" ht="14.25" customHeight="1" x14ac:dyDescent="0.25">
      <c r="B7" s="14" t="s">
        <v>70</v>
      </c>
      <c r="C7" s="15">
        <f>Indtastning!$C$44*Indtastning!$C$15*Indtastning!C54</f>
        <v>2149.0560000000005</v>
      </c>
      <c r="D7" s="15">
        <f>Indtastning!$C$44*Indtastning!$C$15*Indtastning!D54</f>
        <v>0</v>
      </c>
      <c r="E7" s="15">
        <f>Indtastning!$C$44*Indtastning!$C$15*Indtastning!E54</f>
        <v>0</v>
      </c>
      <c r="F7" s="15">
        <f>Indtastning!$C$44*Indtastning!$C$15*Indtastning!F54</f>
        <v>767.5200000000001</v>
      </c>
      <c r="G7" s="15">
        <f>Indtastning!$C$44*Indtastning!$C$15*Indtastning!G54</f>
        <v>0</v>
      </c>
    </row>
    <row r="8" spans="2:8" ht="14.25" customHeight="1" x14ac:dyDescent="0.25">
      <c r="B8" s="14" t="s">
        <v>71</v>
      </c>
      <c r="C8" s="15">
        <f>Indtastning!C46*Indtastning!$C$16*Indtastning!C55</f>
        <v>0</v>
      </c>
      <c r="D8" s="15">
        <f>Indtastning!C46*Indtastning!$C$16*Indtastning!D55</f>
        <v>0</v>
      </c>
      <c r="E8" s="15">
        <f>Indtastning!C46*Indtastning!$C$16*Indtastning!E55</f>
        <v>2947.8288584474885</v>
      </c>
      <c r="F8" s="15">
        <f>Indtastning!C46*Indtastning!$C$16*Indtastning!F55</f>
        <v>2372.6427397260272</v>
      </c>
      <c r="G8" s="15">
        <f>Indtastning!C46*Indtastning!$C$16*Indtastning!G55</f>
        <v>0</v>
      </c>
    </row>
    <row r="9" spans="2:8" ht="14.25" customHeight="1" x14ac:dyDescent="0.25">
      <c r="B9" s="14" t="s">
        <v>72</v>
      </c>
      <c r="C9" s="15">
        <f>Indtastning!$C$45*Indtastning!$C$16*Indtastning!C56</f>
        <v>0</v>
      </c>
      <c r="D9" s="15">
        <f>Indtastning!$C$45*Indtastning!$C$16*Indtastning!D56</f>
        <v>0</v>
      </c>
      <c r="E9" s="15">
        <f>Indtastning!$C$45*Indtastning!$C$16*Indtastning!E56</f>
        <v>0</v>
      </c>
      <c r="F9" s="15">
        <f>Indtastning!$C$45*Indtastning!$C$16*Indtastning!F56</f>
        <v>0</v>
      </c>
      <c r="G9" s="15">
        <f>Indtastning!$C$45*Indtastning!$C$16*Indtastning!G56</f>
        <v>2456.8000000000002</v>
      </c>
    </row>
    <row r="10" spans="2:8" ht="14.25" customHeight="1" x14ac:dyDescent="0.25">
      <c r="B10" s="16" t="s">
        <v>73</v>
      </c>
      <c r="C10" s="17">
        <f>SUM(C6:C9)</f>
        <v>4835.3760000000002</v>
      </c>
      <c r="D10" s="17">
        <f>SUM(D6:D9)</f>
        <v>5372.64</v>
      </c>
      <c r="E10" s="17">
        <f>SUM(E6:E9)</f>
        <v>3075.7488584474886</v>
      </c>
      <c r="F10" s="17">
        <f>SUM(F6:F9)</f>
        <v>3332.0427397260273</v>
      </c>
      <c r="G10" s="17">
        <f>SUM(G6:G9)</f>
        <v>2520.7600000000002</v>
      </c>
    </row>
    <row r="11" spans="2:8" ht="14.25" customHeight="1" x14ac:dyDescent="0.25">
      <c r="B11" s="14" t="s">
        <v>151</v>
      </c>
      <c r="C11" s="18">
        <f>(Indtastning!C53*Indtastning!$C$43)+(Indtastning!C54*Indtastning!$C$44)+(Indtastning!C55*Indtastning!C46)+(Indtastning!C56*Indtastning!$C$45)</f>
        <v>1134</v>
      </c>
      <c r="D11" s="18">
        <f>(Indtastning!D53*Indtastning!$C$43)+(Indtastning!D54*Indtastning!$C$44)+(Indtastning!D55*Indtastning!C46)+(Indtastning!D56*Indtastning!$C$45)</f>
        <v>1260</v>
      </c>
      <c r="E11" s="18">
        <f>(Indtastning!E53*Indtastning!$C$43)+(Indtastning!E54*Indtastning!$C$44)+(Indtastning!E55*Indtastning!C46)+(Indtastning!E56*Indtastning!$C$45)</f>
        <v>826.71050228310503</v>
      </c>
      <c r="F11" s="18">
        <f>(Indtastning!F53*Indtastning!$C$43)+(Indtastning!F54*Indtastning!$C$44)+(Indtastning!F55*Indtastning!C46)+(Indtastning!F56*Indtastning!$C$45)</f>
        <v>866.25479452054788</v>
      </c>
      <c r="G11" s="18">
        <f>(Indtastning!G53*Indtastning!$C$43)+(Indtastning!G54*Indtastning!$C$44)+(Indtastning!G55*Indtastning!C46)+(Indtastning!G56*Indtastning!$C$45)</f>
        <v>679</v>
      </c>
      <c r="H11" s="32"/>
    </row>
    <row r="12" spans="2:8" ht="14.25" customHeight="1" x14ac:dyDescent="0.25">
      <c r="B12" s="19" t="s">
        <v>152</v>
      </c>
      <c r="C12" s="18">
        <f>(Indtastning!C55*Indtastning!C46)+(Indtastning!C56*Indtastning!$C$45)</f>
        <v>0</v>
      </c>
      <c r="D12" s="18">
        <f>(Indtastning!D55*Indtastning!C46)+(Indtastning!D56*Indtastning!$C$45)</f>
        <v>0</v>
      </c>
      <c r="E12" s="18">
        <f>(Indtastning!E55*Indtastning!C46)+(Indtastning!E56*Indtastning!$C$45)</f>
        <v>796.71050228310503</v>
      </c>
      <c r="F12" s="18">
        <f>(Indtastning!F55*Indtastning!C46)+(Indtastning!F56*Indtastning!$C$45)</f>
        <v>641.25479452054788</v>
      </c>
      <c r="G12" s="18">
        <f>(Indtastning!G55*Indtastning!C46)+(Indtastning!G56*Indtastning!$C$45)</f>
        <v>664</v>
      </c>
    </row>
    <row r="14" spans="2:8" ht="15" customHeight="1" x14ac:dyDescent="0.25">
      <c r="B14" s="44" t="s">
        <v>74</v>
      </c>
      <c r="C14" s="44"/>
      <c r="D14" s="44"/>
      <c r="E14" s="44"/>
      <c r="F14" s="44"/>
      <c r="G14" s="44"/>
    </row>
    <row r="15" spans="2:8" ht="14.25" customHeight="1" x14ac:dyDescent="0.25">
      <c r="C15" s="13" t="s">
        <v>49</v>
      </c>
      <c r="D15" s="13" t="s">
        <v>50</v>
      </c>
      <c r="E15" s="13" t="s">
        <v>51</v>
      </c>
      <c r="F15" s="13" t="s">
        <v>52</v>
      </c>
      <c r="G15" s="13" t="s">
        <v>53</v>
      </c>
    </row>
    <row r="16" spans="2:8" ht="14.25" customHeight="1" x14ac:dyDescent="0.25">
      <c r="B16" s="14" t="s">
        <v>75</v>
      </c>
      <c r="C16" s="18">
        <f>Indtastning!$C$12</f>
        <v>29.147945205479452</v>
      </c>
      <c r="D16" s="18">
        <f>Indtastning!$C$12</f>
        <v>29.147945205479452</v>
      </c>
      <c r="E16" s="18">
        <f>Indtastning!$C$12</f>
        <v>29.147945205479452</v>
      </c>
      <c r="F16" s="18">
        <f>Indtastning!$C$12</f>
        <v>29.147945205479452</v>
      </c>
      <c r="G16" s="18">
        <f>Indtastning!$C$12</f>
        <v>29.147945205479452</v>
      </c>
    </row>
    <row r="18" spans="2:11" ht="15" customHeight="1" x14ac:dyDescent="0.25">
      <c r="B18" s="50" t="s">
        <v>153</v>
      </c>
      <c r="C18" s="50"/>
      <c r="D18" s="50"/>
      <c r="E18" s="50"/>
      <c r="F18" s="50"/>
      <c r="G18" s="50"/>
      <c r="J18" s="29"/>
    </row>
    <row r="19" spans="2:11" ht="30" customHeight="1" x14ac:dyDescent="0.25">
      <c r="B19" s="14" t="s">
        <v>154</v>
      </c>
      <c r="C19" s="18">
        <f>Indtastning!$C$6*Indtastning!C55/(Indtastning!$C$7*365)</f>
        <v>0</v>
      </c>
      <c r="D19" s="18">
        <f>Indtastning!$C$6*Indtastning!D55/(Indtastning!$C$7*365)</f>
        <v>0</v>
      </c>
      <c r="E19" s="18">
        <f>Indtastning!$C$6*Indtastning!E55/(Indtastning!$C$7*365)</f>
        <v>20.144292237442922</v>
      </c>
      <c r="F19" s="18">
        <f>Indtastning!$C$6*Indtastning!F55/(Indtastning!$C$7*365)</f>
        <v>16.213698630136985</v>
      </c>
      <c r="G19" s="18">
        <f>Indtastning!$C$6*Indtastning!G55/(Indtastning!$C$7*365)</f>
        <v>0</v>
      </c>
      <c r="K19" s="28"/>
    </row>
    <row r="20" spans="2:11" x14ac:dyDescent="0.25">
      <c r="C20" s="31"/>
      <c r="D20" s="31"/>
      <c r="E20" s="31"/>
      <c r="F20" s="31"/>
      <c r="G20" s="31"/>
    </row>
    <row r="21" spans="2:11" ht="15" customHeight="1" x14ac:dyDescent="0.25">
      <c r="B21" s="51" t="s">
        <v>182</v>
      </c>
      <c r="C21" s="50"/>
      <c r="D21" s="50"/>
      <c r="E21" s="50"/>
      <c r="F21" s="50"/>
      <c r="G21" s="50"/>
    </row>
    <row r="22" spans="2:11" ht="14.25" customHeight="1" x14ac:dyDescent="0.25">
      <c r="B22" s="16" t="s">
        <v>181</v>
      </c>
      <c r="C22" s="20">
        <f>(365*C16-Indtastning!C63) - C11</f>
        <v>9190</v>
      </c>
      <c r="D22" s="20">
        <f>(365*D16-Indtastning!D63) - D11</f>
        <v>8959</v>
      </c>
      <c r="E22" s="20">
        <f>(365*E16-Indtastning!E63) - E11</f>
        <v>9802.2894977168944</v>
      </c>
      <c r="F22" s="20">
        <f>(365*F16-Indtastning!F63) - F11</f>
        <v>9720.2452054794521</v>
      </c>
      <c r="G22" s="20">
        <f>(365*G16-Indtastning!G63) - G11</f>
        <v>9955</v>
      </c>
    </row>
    <row r="23" spans="2:11" ht="14.25" customHeight="1" x14ac:dyDescent="0.25">
      <c r="B23" s="14" t="s">
        <v>76</v>
      </c>
      <c r="C23" s="15">
        <f>C22*Indtastning!$C$15</f>
        <v>39186.160000000003</v>
      </c>
      <c r="D23" s="15">
        <f>D22*Indtastning!$C$15</f>
        <v>38201.175999999999</v>
      </c>
      <c r="E23" s="15">
        <f>E22*Indtastning!$C$15</f>
        <v>41796.96241826484</v>
      </c>
      <c r="F23" s="15">
        <f>F22*Indtastning!$C$15</f>
        <v>41447.125556164385</v>
      </c>
      <c r="G23" s="15">
        <f>G22*Indtastning!$C$15</f>
        <v>42448.12</v>
      </c>
    </row>
    <row r="24" spans="2:11" ht="14.25" customHeight="1" x14ac:dyDescent="0.25">
      <c r="B24" s="14" t="s">
        <v>77</v>
      </c>
      <c r="C24" s="15">
        <f>C22*Indtastning!$C$17</f>
        <v>0</v>
      </c>
      <c r="D24" s="15">
        <f>D22*Indtastning!$C$17</f>
        <v>0</v>
      </c>
      <c r="E24" s="15">
        <f>E22*Indtastning!$C$17</f>
        <v>0</v>
      </c>
      <c r="F24" s="15">
        <f>F22*Indtastning!$C$17</f>
        <v>0</v>
      </c>
      <c r="G24" s="18" t="s">
        <v>78</v>
      </c>
    </row>
    <row r="25" spans="2:11" ht="14.25" customHeight="1" x14ac:dyDescent="0.25">
      <c r="B25" s="14" t="s">
        <v>79</v>
      </c>
      <c r="C25" s="15">
        <f>C23+C24</f>
        <v>39186.160000000003</v>
      </c>
      <c r="D25" s="15">
        <f>D23+D24</f>
        <v>38201.175999999999</v>
      </c>
      <c r="E25" s="15">
        <f>E23+E24</f>
        <v>41796.96241826484</v>
      </c>
      <c r="F25" s="15">
        <f>F23+F24</f>
        <v>41447.125556164385</v>
      </c>
      <c r="G25" s="15">
        <f>G23+N(G24)</f>
        <v>42448.12</v>
      </c>
    </row>
    <row r="26" spans="2:11" ht="15.75" customHeight="1" x14ac:dyDescent="0.25">
      <c r="B26" s="19" t="s">
        <v>80</v>
      </c>
      <c r="C26" s="15">
        <f>C10</f>
        <v>4835.3760000000002</v>
      </c>
      <c r="D26" s="15">
        <f>D10</f>
        <v>5372.64</v>
      </c>
      <c r="E26" s="15">
        <f>E10</f>
        <v>3075.7488584474886</v>
      </c>
      <c r="F26" s="15">
        <f>F10</f>
        <v>3332.0427397260273</v>
      </c>
      <c r="G26" s="15">
        <f>G10</f>
        <v>2520.7600000000002</v>
      </c>
    </row>
    <row r="27" spans="2:11" ht="14.25" customHeight="1" x14ac:dyDescent="0.25">
      <c r="B27" s="16" t="s">
        <v>189</v>
      </c>
      <c r="C27" s="17">
        <f>C25+C26</f>
        <v>44021.536000000007</v>
      </c>
      <c r="D27" s="17">
        <f>D25+D26</f>
        <v>43573.815999999999</v>
      </c>
      <c r="E27" s="17">
        <f>E25+E26</f>
        <v>44872.711276712333</v>
      </c>
      <c r="F27" s="17">
        <f>F25+F26</f>
        <v>44779.168295890413</v>
      </c>
      <c r="G27" s="17">
        <f>G25+G26</f>
        <v>44968.880000000005</v>
      </c>
    </row>
    <row r="29" spans="2:11" ht="15" customHeight="1" x14ac:dyDescent="0.25">
      <c r="B29" s="44" t="s">
        <v>81</v>
      </c>
      <c r="C29" s="44"/>
      <c r="D29" s="44"/>
      <c r="E29" s="44"/>
      <c r="F29" s="44"/>
      <c r="G29" s="44"/>
    </row>
    <row r="30" spans="2:11" ht="14.25" customHeight="1" x14ac:dyDescent="0.25">
      <c r="C30" s="13" t="s">
        <v>49</v>
      </c>
      <c r="D30" s="13" t="s">
        <v>50</v>
      </c>
      <c r="E30" s="13" t="s">
        <v>51</v>
      </c>
      <c r="F30" s="13" t="s">
        <v>52</v>
      </c>
      <c r="G30" s="13" t="s">
        <v>53</v>
      </c>
    </row>
    <row r="31" spans="2:11" ht="15" customHeight="1" x14ac:dyDescent="0.25">
      <c r="B31" s="50" t="s">
        <v>173</v>
      </c>
      <c r="C31" s="50"/>
      <c r="D31" s="50"/>
      <c r="E31" s="50"/>
      <c r="F31" s="50"/>
      <c r="G31" s="50"/>
    </row>
    <row r="32" spans="2:11" ht="14.25" customHeight="1" x14ac:dyDescent="0.25">
      <c r="B32" s="14" t="s">
        <v>167</v>
      </c>
      <c r="C32" s="18">
        <f>Indtastning!C66*Indtastning!C57</f>
        <v>109.2</v>
      </c>
      <c r="D32" s="18">
        <f>Indtastning!D66*Indtastning!D57</f>
        <v>117.6</v>
      </c>
      <c r="E32" s="18">
        <f>Indtastning!E66*Indtastning!E57</f>
        <v>84</v>
      </c>
      <c r="F32" s="18">
        <f>Indtastning!F66*Indtastning!F57</f>
        <v>92.4</v>
      </c>
      <c r="G32" s="18">
        <f>Indtastning!G66*Indtastning!G57</f>
        <v>71.399999999999991</v>
      </c>
    </row>
    <row r="33" spans="2:7" ht="14.25" customHeight="1" x14ac:dyDescent="0.25">
      <c r="B33" s="14" t="s">
        <v>168</v>
      </c>
      <c r="C33" s="18">
        <f>Indtastning!C67*30</f>
        <v>24</v>
      </c>
      <c r="D33" s="18">
        <f>Indtastning!D67*30</f>
        <v>21</v>
      </c>
      <c r="E33" s="18">
        <f>Indtastning!E67*30</f>
        <v>22.5</v>
      </c>
      <c r="F33" s="18">
        <f>Indtastning!F67*30</f>
        <v>22.5</v>
      </c>
      <c r="G33" s="18">
        <f>Indtastning!G67*30</f>
        <v>25.5</v>
      </c>
    </row>
    <row r="34" spans="2:7" ht="14.25" customHeight="1" x14ac:dyDescent="0.25">
      <c r="B34" s="14" t="s">
        <v>172</v>
      </c>
      <c r="C34" s="18">
        <f>C32+C33</f>
        <v>133.19999999999999</v>
      </c>
      <c r="D34" s="18">
        <f>D32+D33</f>
        <v>138.6</v>
      </c>
      <c r="E34" s="18">
        <f>E32+E33</f>
        <v>106.5</v>
      </c>
      <c r="F34" s="18">
        <f>F32+F33</f>
        <v>114.9</v>
      </c>
      <c r="G34" s="18">
        <f>G32+G33</f>
        <v>96.899999999999991</v>
      </c>
    </row>
    <row r="35" spans="2:7" ht="14.25" customHeight="1" x14ac:dyDescent="0.25">
      <c r="B35" s="14" t="s">
        <v>169</v>
      </c>
      <c r="C35" s="18">
        <f>C32+Indtastning!$C$27</f>
        <v>154.19999999999999</v>
      </c>
      <c r="D35" s="18">
        <f>D32+Indtastning!$C$27</f>
        <v>162.6</v>
      </c>
      <c r="E35" s="18">
        <f>E32+Indtastning!$C$27</f>
        <v>129</v>
      </c>
      <c r="F35" s="18">
        <f>F32+Indtastning!$C$27</f>
        <v>137.4</v>
      </c>
      <c r="G35" s="18">
        <f>G32+Indtastning!$C$27</f>
        <v>116.39999999999999</v>
      </c>
    </row>
    <row r="36" spans="2:7" ht="14.25" customHeight="1" x14ac:dyDescent="0.25">
      <c r="B36" s="14" t="s">
        <v>170</v>
      </c>
      <c r="C36" s="18">
        <f>C35+C33</f>
        <v>178.2</v>
      </c>
      <c r="D36" s="18">
        <f>D35+D33</f>
        <v>183.6</v>
      </c>
      <c r="E36" s="18">
        <f>E35+E33</f>
        <v>151.5</v>
      </c>
      <c r="F36" s="18">
        <f>F35+F33</f>
        <v>159.9</v>
      </c>
      <c r="G36" s="18">
        <f>G35+G33</f>
        <v>141.89999999999998</v>
      </c>
    </row>
    <row r="37" spans="2:7" ht="14.25" customHeight="1" x14ac:dyDescent="0.25">
      <c r="B37" s="14" t="s">
        <v>82</v>
      </c>
      <c r="C37" s="15">
        <f>C35*Indtastning!$C$24</f>
        <v>4780.2</v>
      </c>
      <c r="D37" s="15">
        <f>D35*Indtastning!$C$24</f>
        <v>5040.5999999999995</v>
      </c>
      <c r="E37" s="15">
        <f>E35*Indtastning!$C$24</f>
        <v>3999</v>
      </c>
      <c r="F37" s="15">
        <f>F35*Indtastning!$C$24</f>
        <v>4259.4000000000005</v>
      </c>
      <c r="G37" s="15">
        <f>G35*Indtastning!$C$24</f>
        <v>3608.3999999999996</v>
      </c>
    </row>
    <row r="39" spans="2:7" ht="15" customHeight="1" x14ac:dyDescent="0.25">
      <c r="B39" s="50" t="s">
        <v>83</v>
      </c>
      <c r="C39" s="50"/>
      <c r="D39" s="50"/>
      <c r="E39" s="50"/>
      <c r="F39" s="50"/>
      <c r="G39" s="50"/>
    </row>
    <row r="40" spans="2:7" ht="14.25" customHeight="1" x14ac:dyDescent="0.25">
      <c r="B40" s="14" t="s">
        <v>84</v>
      </c>
      <c r="C40" s="18">
        <f>((Indtastning!$C$31*Indtastning!$C$32)+C34)+Indtastning!$C$27</f>
        <v>371.4</v>
      </c>
      <c r="D40" s="18">
        <f>((Indtastning!$C$31*Indtastning!$C$32)+D34)+Indtastning!$C$27</f>
        <v>376.79999999999995</v>
      </c>
      <c r="E40" s="18">
        <f>((Indtastning!$C$31*Indtastning!$C$32)+E34)+Indtastning!$C$27</f>
        <v>344.7</v>
      </c>
      <c r="F40" s="18">
        <f>((Indtastning!$C$31*Indtastning!$C$32)+F34)+Indtastning!$C$27</f>
        <v>353.1</v>
      </c>
      <c r="G40" s="18">
        <f>((Indtastning!$C$31*Indtastning!$C$32)+G34)+Indtastning!$C$27</f>
        <v>335.09999999999997</v>
      </c>
    </row>
    <row r="41" spans="2:7" ht="14.25" customHeight="1" x14ac:dyDescent="0.25">
      <c r="B41" s="14" t="s">
        <v>156</v>
      </c>
      <c r="C41" s="18">
        <f>C40-Indtastning!$C$28</f>
        <v>11.399999999999977</v>
      </c>
      <c r="D41" s="18">
        <f>D40-Indtastning!$C$28</f>
        <v>16.799999999999955</v>
      </c>
      <c r="E41" s="18">
        <f>E40-Indtastning!$C$28</f>
        <v>-15.300000000000011</v>
      </c>
      <c r="F41" s="18">
        <f>F40-Indtastning!$C$28</f>
        <v>-6.8999999999999773</v>
      </c>
      <c r="G41" s="18">
        <f>G40-Indtastning!$C$28</f>
        <v>-24.900000000000034</v>
      </c>
    </row>
    <row r="42" spans="2:7" ht="14.25" customHeight="1" x14ac:dyDescent="0.25">
      <c r="B42" s="14" t="s">
        <v>157</v>
      </c>
      <c r="C42" s="18">
        <f>C41/Indtastning!$C$31</f>
        <v>16.285714285714253</v>
      </c>
      <c r="D42" s="18">
        <f>D41/Indtastning!$C$31</f>
        <v>23.999999999999936</v>
      </c>
      <c r="E42" s="18">
        <f>E41/Indtastning!$C$31</f>
        <v>-21.857142857142875</v>
      </c>
      <c r="F42" s="18">
        <f>F41/Indtastning!$C$31</f>
        <v>-9.8571428571428257</v>
      </c>
      <c r="G42" s="18">
        <f>G41/Indtastning!$C$31</f>
        <v>-35.571428571428619</v>
      </c>
    </row>
    <row r="43" spans="2:7" ht="14.25" customHeight="1" x14ac:dyDescent="0.25">
      <c r="B43" s="14" t="s">
        <v>174</v>
      </c>
      <c r="C43" s="18">
        <f>Indtastning!$C$30-C42</f>
        <v>373.71428571428572</v>
      </c>
      <c r="D43" s="18">
        <f>Indtastning!$C$30-D42</f>
        <v>366.00000000000006</v>
      </c>
      <c r="E43" s="18">
        <f>Indtastning!$C$30-E42</f>
        <v>411.85714285714289</v>
      </c>
      <c r="F43" s="18">
        <f>Indtastning!$C$30-F42</f>
        <v>399.85714285714283</v>
      </c>
      <c r="G43" s="18">
        <f>Indtastning!$C$30-G42</f>
        <v>425.57142857142861</v>
      </c>
    </row>
    <row r="44" spans="2:7" ht="14.25" customHeight="1" x14ac:dyDescent="0.25">
      <c r="B44" s="16" t="s">
        <v>158</v>
      </c>
      <c r="C44" s="17">
        <f>Indtastning!$C$28*Indtastning!$C$24</f>
        <v>11160</v>
      </c>
      <c r="D44" s="17">
        <f>Indtastning!$C$28*Indtastning!$C$24</f>
        <v>11160</v>
      </c>
      <c r="E44" s="17">
        <f>Indtastning!$C$28*Indtastning!$C$24</f>
        <v>11160</v>
      </c>
      <c r="F44" s="17">
        <f>Indtastning!$C$28*Indtastning!$C$24</f>
        <v>11160</v>
      </c>
      <c r="G44" s="17">
        <f>Indtastning!$C$28*Indtastning!$C$24</f>
        <v>11160</v>
      </c>
    </row>
    <row r="46" spans="2:7" ht="15" customHeight="1" x14ac:dyDescent="0.25">
      <c r="B46" s="44" t="s">
        <v>85</v>
      </c>
      <c r="C46" s="44"/>
      <c r="D46" s="44"/>
      <c r="E46" s="44"/>
      <c r="F46" s="44"/>
      <c r="G46" s="44"/>
    </row>
    <row r="47" spans="2:7" ht="14.25" customHeight="1" x14ac:dyDescent="0.25">
      <c r="C47" s="13" t="s">
        <v>49</v>
      </c>
      <c r="D47" s="13" t="s">
        <v>50</v>
      </c>
      <c r="E47" s="13" t="s">
        <v>51</v>
      </c>
      <c r="F47" s="13" t="s">
        <v>52</v>
      </c>
      <c r="G47" s="13" t="s">
        <v>53</v>
      </c>
    </row>
    <row r="48" spans="2:7" ht="15" customHeight="1" x14ac:dyDescent="0.25">
      <c r="B48" s="50" t="s">
        <v>86</v>
      </c>
      <c r="C48" s="50"/>
      <c r="D48" s="50"/>
      <c r="E48" s="50"/>
      <c r="F48" s="50"/>
      <c r="G48" s="50"/>
    </row>
    <row r="49" spans="2:14" ht="14.25" customHeight="1" x14ac:dyDescent="0.25">
      <c r="B49" s="14" t="s">
        <v>87</v>
      </c>
      <c r="C49" s="18">
        <f>(Indtastning!$C$18/60)*Indtastning!C70</f>
        <v>10</v>
      </c>
      <c r="D49" s="18">
        <f>(Indtastning!$C$18/60)*Indtastning!D70</f>
        <v>8.3333333333333339</v>
      </c>
      <c r="E49" s="18">
        <f>(Indtastning!$C$18/60)*Indtastning!E70</f>
        <v>16.666666666666668</v>
      </c>
      <c r="F49" s="18">
        <f>(Indtastning!$C$18/60)*Indtastning!F70</f>
        <v>13.333333333333334</v>
      </c>
      <c r="G49" s="18">
        <f>(Indtastning!$C$18/60)*Indtastning!G70</f>
        <v>20</v>
      </c>
    </row>
    <row r="50" spans="2:14" ht="14.25" customHeight="1" x14ac:dyDescent="0.25">
      <c r="B50" s="14" t="s">
        <v>88</v>
      </c>
      <c r="C50" s="18">
        <f>Indtastning!$C$19*Indtastning!C73</f>
        <v>3.2</v>
      </c>
      <c r="D50" s="18">
        <f>Indtastning!$C$19*Indtastning!D73</f>
        <v>3.2</v>
      </c>
      <c r="E50" s="18">
        <f>Indtastning!$C$19*Indtastning!E73</f>
        <v>4</v>
      </c>
      <c r="F50" s="18">
        <f>Indtastning!$C$19*Indtastning!F73</f>
        <v>4</v>
      </c>
      <c r="G50" s="18">
        <f>Indtastning!$C$19*Indtastning!G73</f>
        <v>2.4000000000000004</v>
      </c>
      <c r="N50" s="30"/>
    </row>
    <row r="51" spans="2:14" ht="14.25" customHeight="1" x14ac:dyDescent="0.25">
      <c r="B51" s="14" t="s">
        <v>89</v>
      </c>
      <c r="C51" s="18">
        <f>Indtastning!$C$20*Indtastning!C76</f>
        <v>3.6</v>
      </c>
      <c r="D51" s="18">
        <f>Indtastning!$C$20*Indtastning!D76</f>
        <v>3</v>
      </c>
      <c r="E51" s="18">
        <f>Indtastning!$C$20*Indtastning!E76</f>
        <v>4.4000000000000004</v>
      </c>
      <c r="F51" s="18">
        <f>Indtastning!$C$20*Indtastning!F76</f>
        <v>4</v>
      </c>
      <c r="G51" s="18">
        <f>Indtastning!$C$20*Indtastning!G76</f>
        <v>4.4000000000000004</v>
      </c>
    </row>
    <row r="52" spans="2:14" ht="14.25" customHeight="1" x14ac:dyDescent="0.25">
      <c r="B52" s="14" t="s">
        <v>90</v>
      </c>
      <c r="C52" s="18">
        <f>Indtastning!$C$21*Indtastning!C77</f>
        <v>0</v>
      </c>
      <c r="D52" s="18">
        <f>Indtastning!$C$21*Indtastning!D77</f>
        <v>0</v>
      </c>
      <c r="E52" s="18">
        <f>Indtastning!$C$21*Indtastning!E77</f>
        <v>0</v>
      </c>
      <c r="F52" s="18">
        <f>Indtastning!$C$21*Indtastning!F77</f>
        <v>0</v>
      </c>
      <c r="G52" s="18">
        <f>Indtastning!$C$21*Indtastning!G77</f>
        <v>0</v>
      </c>
    </row>
    <row r="53" spans="2:14" ht="14.25" customHeight="1" x14ac:dyDescent="0.25">
      <c r="B53" s="14" t="s">
        <v>91</v>
      </c>
      <c r="C53" s="18">
        <f>Indtastning!C72</f>
        <v>10</v>
      </c>
      <c r="D53" s="18">
        <f>Indtastning!D72</f>
        <v>10</v>
      </c>
      <c r="E53" s="18">
        <f>Indtastning!E72</f>
        <v>10</v>
      </c>
      <c r="F53" s="18">
        <f>Indtastning!F72</f>
        <v>10</v>
      </c>
      <c r="G53" s="18">
        <f>Indtastning!G72</f>
        <v>10</v>
      </c>
    </row>
    <row r="54" spans="2:14" ht="15" customHeight="1" x14ac:dyDescent="0.25">
      <c r="B54" s="50" t="s">
        <v>175</v>
      </c>
      <c r="C54" s="50"/>
      <c r="D54" s="50"/>
      <c r="E54" s="50"/>
      <c r="F54" s="50"/>
      <c r="G54" s="50"/>
    </row>
    <row r="55" spans="2:14" ht="14.25" customHeight="1" x14ac:dyDescent="0.25">
      <c r="B55" s="14" t="s">
        <v>92</v>
      </c>
      <c r="C55" s="15">
        <f>C49*Indtastning!C57</f>
        <v>840</v>
      </c>
      <c r="D55" s="15">
        <f>D49*Indtastning!D57</f>
        <v>700</v>
      </c>
      <c r="E55" s="15">
        <f>E49*Indtastning!E57</f>
        <v>1400</v>
      </c>
      <c r="F55" s="15">
        <f>F49*Indtastning!F57</f>
        <v>1120</v>
      </c>
      <c r="G55" s="15">
        <f>G49*Indtastning!G57</f>
        <v>1680</v>
      </c>
    </row>
    <row r="56" spans="2:14" ht="14.25" customHeight="1" x14ac:dyDescent="0.25">
      <c r="B56" s="14" t="s">
        <v>93</v>
      </c>
      <c r="C56" s="15">
        <f>C50*Indtastning!C57</f>
        <v>268.8</v>
      </c>
      <c r="D56" s="15">
        <f>D50*Indtastning!D57</f>
        <v>268.8</v>
      </c>
      <c r="E56" s="15">
        <f>E50*Indtastning!E57</f>
        <v>336</v>
      </c>
      <c r="F56" s="15">
        <f>F50*Indtastning!F57</f>
        <v>336</v>
      </c>
      <c r="G56" s="15">
        <f>G50*Indtastning!G57</f>
        <v>201.60000000000002</v>
      </c>
    </row>
    <row r="57" spans="2:14" ht="14.25" customHeight="1" x14ac:dyDescent="0.25">
      <c r="B57" s="14" t="s">
        <v>94</v>
      </c>
      <c r="C57" s="15">
        <f>C51*Indtastning!C57</f>
        <v>302.40000000000003</v>
      </c>
      <c r="D57" s="15">
        <f>D51*Indtastning!D57</f>
        <v>252</v>
      </c>
      <c r="E57" s="15">
        <f>E51*Indtastning!E57</f>
        <v>369.6</v>
      </c>
      <c r="F57" s="15">
        <f>F51*Indtastning!F57</f>
        <v>336</v>
      </c>
      <c r="G57" s="15">
        <f>G51*Indtastning!G57</f>
        <v>369.6</v>
      </c>
    </row>
    <row r="58" spans="2:14" ht="14.25" customHeight="1" x14ac:dyDescent="0.25">
      <c r="B58" s="14" t="s">
        <v>95</v>
      </c>
      <c r="C58" s="15">
        <f>C52*Indtastning!C57</f>
        <v>0</v>
      </c>
      <c r="D58" s="15">
        <f>D52*Indtastning!D57</f>
        <v>0</v>
      </c>
      <c r="E58" s="15">
        <f>E52*Indtastning!E57</f>
        <v>0</v>
      </c>
      <c r="F58" s="15">
        <f>F52*Indtastning!F57</f>
        <v>0</v>
      </c>
      <c r="G58" s="15">
        <f>G52*Indtastning!G57</f>
        <v>0</v>
      </c>
    </row>
    <row r="59" spans="2:14" ht="14.25" customHeight="1" x14ac:dyDescent="0.25">
      <c r="B59" s="14" t="s">
        <v>96</v>
      </c>
      <c r="C59" s="15">
        <f>Indtastning!$C$23</f>
        <v>150</v>
      </c>
      <c r="D59" s="15">
        <f>Indtastning!$C$23</f>
        <v>150</v>
      </c>
      <c r="E59" s="15">
        <f>Indtastning!$C$23</f>
        <v>150</v>
      </c>
      <c r="F59" s="15">
        <f>Indtastning!$C$23</f>
        <v>150</v>
      </c>
      <c r="G59" s="15">
        <f>Indtastning!$C$23</f>
        <v>150</v>
      </c>
    </row>
    <row r="61" spans="2:14" ht="15" customHeight="1" x14ac:dyDescent="0.25">
      <c r="B61" s="50" t="s">
        <v>159</v>
      </c>
      <c r="C61" s="50"/>
      <c r="D61" s="50"/>
      <c r="E61" s="50"/>
      <c r="F61" s="50"/>
      <c r="G61" s="50"/>
    </row>
    <row r="62" spans="2:14" ht="14.25" customHeight="1" x14ac:dyDescent="0.25">
      <c r="B62" s="14" t="s">
        <v>97</v>
      </c>
      <c r="C62" s="15">
        <f>(C43-Indtastning!C57)*C53</f>
        <v>2897.1428571428573</v>
      </c>
      <c r="D62" s="15">
        <f>(D43-Indtastning!D57)*D53</f>
        <v>2820.0000000000005</v>
      </c>
      <c r="E62" s="15">
        <f>(E43-Indtastning!E57)*E53</f>
        <v>3278.5714285714289</v>
      </c>
      <c r="F62" s="15">
        <f>(F43-Indtastning!F57)*F53</f>
        <v>3158.5714285714284</v>
      </c>
      <c r="G62" s="15">
        <f>(G43-Indtastning!G57)*G53</f>
        <v>3415.7142857142862</v>
      </c>
    </row>
    <row r="63" spans="2:14" ht="14.25" customHeight="1" x14ac:dyDescent="0.25">
      <c r="B63" s="14" t="s">
        <v>98</v>
      </c>
      <c r="C63" s="15">
        <f>C50*(C43-Indtastning!C57)</f>
        <v>927.0857142857144</v>
      </c>
      <c r="D63" s="15">
        <f>D50*(D43-Indtastning!D57)</f>
        <v>902.4000000000002</v>
      </c>
      <c r="E63" s="15">
        <f>E50*(E43-Indtastning!E57)</f>
        <v>1311.4285714285716</v>
      </c>
      <c r="F63" s="15">
        <f>F50*(F43-Indtastning!F57)</f>
        <v>1263.4285714285713</v>
      </c>
      <c r="G63" s="15">
        <f>G50*(G43-Indtastning!G57)</f>
        <v>819.77142857142883</v>
      </c>
    </row>
    <row r="64" spans="2:14" ht="14.25" customHeight="1" x14ac:dyDescent="0.25">
      <c r="B64" s="14" t="s">
        <v>99</v>
      </c>
      <c r="C64" s="15">
        <f>Indtastning!$C$22*(C43-Indtastning!C57)</f>
        <v>2897.1428571428573</v>
      </c>
      <c r="D64" s="15">
        <f>Indtastning!$C$22*(D43-Indtastning!D57)</f>
        <v>2820.0000000000005</v>
      </c>
      <c r="E64" s="15">
        <f>Indtastning!$C$22*(E43-Indtastning!E57)</f>
        <v>3278.5714285714289</v>
      </c>
      <c r="F64" s="15">
        <f>Indtastning!$C$22*(F43-Indtastning!F57)</f>
        <v>3158.5714285714284</v>
      </c>
      <c r="G64" s="15">
        <f>Indtastning!$C$22*(G43-Indtastning!G57)</f>
        <v>3415.7142857142862</v>
      </c>
    </row>
    <row r="66" spans="2:7" ht="15" customHeight="1" x14ac:dyDescent="0.25">
      <c r="B66" s="44" t="s">
        <v>100</v>
      </c>
      <c r="C66" s="44"/>
      <c r="D66" s="44"/>
      <c r="E66" s="44"/>
      <c r="F66" s="44"/>
      <c r="G66" s="44"/>
    </row>
    <row r="67" spans="2:7" ht="14.25" customHeight="1" x14ac:dyDescent="0.25">
      <c r="C67" s="13" t="s">
        <v>49</v>
      </c>
      <c r="D67" s="13" t="s">
        <v>50</v>
      </c>
      <c r="E67" s="13" t="s">
        <v>51</v>
      </c>
      <c r="F67" s="13" t="s">
        <v>52</v>
      </c>
      <c r="G67" s="13" t="s">
        <v>53</v>
      </c>
    </row>
    <row r="68" spans="2:7" ht="14.25" customHeight="1" x14ac:dyDescent="0.25">
      <c r="B68" s="14" t="s">
        <v>101</v>
      </c>
      <c r="C68" s="18">
        <f>Indtastning!$C$5*8</f>
        <v>2152</v>
      </c>
      <c r="D68" s="18">
        <f>Indtastning!$C$5*8</f>
        <v>2152</v>
      </c>
      <c r="E68" s="18">
        <f>Indtastning!$C$5*8</f>
        <v>2152</v>
      </c>
      <c r="F68" s="18">
        <f>Indtastning!$C$5*8</f>
        <v>2152</v>
      </c>
      <c r="G68" s="18">
        <f>Indtastning!$C$5*8</f>
        <v>2152</v>
      </c>
    </row>
    <row r="69" spans="2:7" ht="14.25" customHeight="1" x14ac:dyDescent="0.25">
      <c r="B69" s="14" t="s">
        <v>102</v>
      </c>
      <c r="C69" s="18">
        <f>Indtastning!$C$35-8</f>
        <v>4</v>
      </c>
      <c r="D69" s="18">
        <f>Indtastning!$C$35-8</f>
        <v>4</v>
      </c>
      <c r="E69" s="18">
        <f>Indtastning!$C$35-8</f>
        <v>4</v>
      </c>
      <c r="F69" s="18">
        <f>Indtastning!$C$35-8</f>
        <v>4</v>
      </c>
      <c r="G69" s="43" t="s">
        <v>78</v>
      </c>
    </row>
    <row r="70" spans="2:7" ht="14.25" customHeight="1" x14ac:dyDescent="0.25">
      <c r="B70" s="14" t="s">
        <v>103</v>
      </c>
      <c r="C70" s="15">
        <f>(Indtastning!$C$38+Indtastning!$C$39)*Indtastning!$C$5</f>
        <v>924015</v>
      </c>
      <c r="D70" s="15">
        <f>(Indtastning!$C$38+Indtastning!$C$39)*Indtastning!$C$5</f>
        <v>924015</v>
      </c>
      <c r="E70" s="15">
        <f>(Indtastning!$C$38+Indtastning!$C$39)*Indtastning!$C$5</f>
        <v>924015</v>
      </c>
      <c r="F70" s="15">
        <f>(Indtastning!$C$38+Indtastning!$C$39)*Indtastning!$C$5</f>
        <v>924015</v>
      </c>
      <c r="G70" s="15">
        <f>(Indtastning!$C$38+Indtastning!$C$39)*Indtastning!$C$5</f>
        <v>924015</v>
      </c>
    </row>
    <row r="71" spans="2:7" ht="14.25" customHeight="1" x14ac:dyDescent="0.25">
      <c r="B71" s="14" t="s">
        <v>104</v>
      </c>
      <c r="C71" s="18">
        <f>C70/C68</f>
        <v>429.375</v>
      </c>
      <c r="D71" s="18">
        <f>D70/D68</f>
        <v>429.375</v>
      </c>
      <c r="E71" s="18">
        <f>E70/E68</f>
        <v>429.375</v>
      </c>
      <c r="F71" s="18">
        <f>F70/F68</f>
        <v>429.375</v>
      </c>
      <c r="G71" s="18">
        <f>G70/G68</f>
        <v>429.375</v>
      </c>
    </row>
    <row r="72" spans="2:7" ht="14.25" customHeight="1" x14ac:dyDescent="0.25">
      <c r="B72" s="14" t="s">
        <v>105</v>
      </c>
      <c r="C72" s="18">
        <f>(((Indtastning!$C$36+(Indtastning!$C$35-8))*(Indtastning!C53+Indtastning!C54))+((Indtastning!$C$36+(Indtastning!$C$35-8)/Indtastning!$C$7)*Indtastning!C55)+(Indtastning!$C$37*Indtastning!C56))/Indtastning!C57</f>
        <v>7.6</v>
      </c>
      <c r="D72" s="18">
        <f>(((Indtastning!$C$36+(Indtastning!$C$35-8))*(Indtastning!D53+Indtastning!D54))+((Indtastning!$C$36+(Indtastning!$C$35-8)/Indtastning!$C$7)*Indtastning!D55)+(Indtastning!$C$37*Indtastning!D56))/Indtastning!D57</f>
        <v>7.6</v>
      </c>
      <c r="E72" s="18">
        <f>(((Indtastning!$C$36+(Indtastning!$C$35-8))*(Indtastning!E53+Indtastning!E54))+((Indtastning!$C$36+(Indtastning!$C$35-8)/Indtastning!$C$7)*Indtastning!E55)+(Indtastning!$C$37*Indtastning!E56))/Indtastning!E57</f>
        <v>4.9968253968253968</v>
      </c>
      <c r="F72" s="18">
        <f>(((Indtastning!$C$36+(Indtastning!$C$35-8))*(Indtastning!F53+Indtastning!F54))+((Indtastning!$C$36+(Indtastning!$C$35-8)/Indtastning!$C$7)*Indtastning!F55)+(Indtastning!$C$37*Indtastning!F56))/Indtastning!F57</f>
        <v>5.5047619047619047</v>
      </c>
      <c r="G72" s="18">
        <f>(((Indtastning!$C$36+(Indtastning!$C$35-8))*(Indtastning!G53+Indtastning!G54))+((Indtastning!$C$36+(Indtastning!$C$35-8)/Indtastning!$C$7)*Indtastning!G55)+(Indtastning!$C$37*Indtastning!G56))/Indtastning!G57</f>
        <v>2.4619047619047616</v>
      </c>
    </row>
    <row r="73" spans="2:7" ht="14.25" customHeight="1" x14ac:dyDescent="0.25">
      <c r="B73" s="16" t="s">
        <v>106</v>
      </c>
      <c r="C73" s="17">
        <f>C72*C71*(Indtastning!C57/365)</f>
        <v>750.99452054794517</v>
      </c>
      <c r="D73" s="17">
        <f>D72*D71*(Indtastning!D57/365)</f>
        <v>750.99452054794517</v>
      </c>
      <c r="E73" s="17">
        <f>E72*E71*(Indtastning!E57/365)</f>
        <v>493.76164383561638</v>
      </c>
      <c r="F73" s="17">
        <f>F72*F71*(Indtastning!F57/365)</f>
        <v>543.95342465753424</v>
      </c>
      <c r="G73" s="17">
        <f>G72*G71*(Indtastning!G57/365)</f>
        <v>243.27328767123288</v>
      </c>
    </row>
    <row r="75" spans="2:7" ht="15" customHeight="1" x14ac:dyDescent="0.25">
      <c r="B75" s="44" t="s">
        <v>107</v>
      </c>
      <c r="C75" s="44"/>
      <c r="D75" s="44"/>
      <c r="E75" s="44"/>
      <c r="F75" s="44"/>
      <c r="G75" s="44"/>
    </row>
    <row r="76" spans="2:7" ht="14.25" customHeight="1" x14ac:dyDescent="0.25">
      <c r="C76" s="13" t="s">
        <v>49</v>
      </c>
      <c r="D76" s="13" t="s">
        <v>50</v>
      </c>
      <c r="E76" s="13" t="s">
        <v>51</v>
      </c>
      <c r="F76" s="13" t="s">
        <v>52</v>
      </c>
      <c r="G76" s="13" t="s">
        <v>53</v>
      </c>
    </row>
    <row r="77" spans="2:7" ht="15" customHeight="1" x14ac:dyDescent="0.25">
      <c r="B77" s="50" t="s">
        <v>108</v>
      </c>
      <c r="C77" s="50"/>
      <c r="D77" s="50"/>
      <c r="E77" s="50"/>
      <c r="F77" s="50"/>
      <c r="G77" s="50"/>
    </row>
    <row r="78" spans="2:7" ht="14.25" customHeight="1" x14ac:dyDescent="0.25">
      <c r="B78" s="14" t="s">
        <v>183</v>
      </c>
      <c r="C78" s="15">
        <f>-C10</f>
        <v>-4835.3760000000002</v>
      </c>
      <c r="D78" s="15">
        <f>-D10</f>
        <v>-5372.64</v>
      </c>
      <c r="E78" s="15">
        <f>-E10</f>
        <v>-3075.7488584474886</v>
      </c>
      <c r="F78" s="15">
        <f>-F10</f>
        <v>-3332.0427397260273</v>
      </c>
      <c r="G78" s="15">
        <f>-G10</f>
        <v>-2520.7600000000002</v>
      </c>
    </row>
    <row r="79" spans="2:7" ht="14.25" customHeight="1" x14ac:dyDescent="0.25">
      <c r="B79" s="14" t="s">
        <v>184</v>
      </c>
      <c r="C79" s="15">
        <f t="shared" ref="C79:G83" si="0">-C55</f>
        <v>-840</v>
      </c>
      <c r="D79" s="15">
        <f t="shared" si="0"/>
        <v>-700</v>
      </c>
      <c r="E79" s="15">
        <f t="shared" si="0"/>
        <v>-1400</v>
      </c>
      <c r="F79" s="15">
        <f t="shared" si="0"/>
        <v>-1120</v>
      </c>
      <c r="G79" s="15">
        <f t="shared" si="0"/>
        <v>-1680</v>
      </c>
    </row>
    <row r="80" spans="2:7" ht="14.25" customHeight="1" x14ac:dyDescent="0.25">
      <c r="B80" s="14" t="s">
        <v>185</v>
      </c>
      <c r="C80" s="15">
        <f t="shared" si="0"/>
        <v>-268.8</v>
      </c>
      <c r="D80" s="15">
        <f t="shared" si="0"/>
        <v>-268.8</v>
      </c>
      <c r="E80" s="15">
        <f t="shared" si="0"/>
        <v>-336</v>
      </c>
      <c r="F80" s="15">
        <f t="shared" si="0"/>
        <v>-336</v>
      </c>
      <c r="G80" s="15">
        <f t="shared" si="0"/>
        <v>-201.60000000000002</v>
      </c>
    </row>
    <row r="81" spans="2:7" ht="14.25" customHeight="1" x14ac:dyDescent="0.25">
      <c r="B81" s="14" t="s">
        <v>186</v>
      </c>
      <c r="C81" s="15">
        <f t="shared" si="0"/>
        <v>-302.40000000000003</v>
      </c>
      <c r="D81" s="15">
        <f t="shared" si="0"/>
        <v>-252</v>
      </c>
      <c r="E81" s="15">
        <f t="shared" si="0"/>
        <v>-369.6</v>
      </c>
      <c r="F81" s="15">
        <f t="shared" si="0"/>
        <v>-336</v>
      </c>
      <c r="G81" s="15">
        <f t="shared" si="0"/>
        <v>-369.6</v>
      </c>
    </row>
    <row r="82" spans="2:7" ht="14.25" customHeight="1" x14ac:dyDescent="0.25">
      <c r="B82" s="14" t="s">
        <v>187</v>
      </c>
      <c r="C82" s="15">
        <f t="shared" si="0"/>
        <v>0</v>
      </c>
      <c r="D82" s="15">
        <f t="shared" si="0"/>
        <v>0</v>
      </c>
      <c r="E82" s="15">
        <f t="shared" si="0"/>
        <v>0</v>
      </c>
      <c r="F82" s="15">
        <f t="shared" si="0"/>
        <v>0</v>
      </c>
      <c r="G82" s="15">
        <f t="shared" si="0"/>
        <v>0</v>
      </c>
    </row>
    <row r="83" spans="2:7" ht="14.25" customHeight="1" x14ac:dyDescent="0.25">
      <c r="B83" s="14" t="s">
        <v>96</v>
      </c>
      <c r="C83" s="15">
        <f t="shared" si="0"/>
        <v>-150</v>
      </c>
      <c r="D83" s="15">
        <f t="shared" si="0"/>
        <v>-150</v>
      </c>
      <c r="E83" s="15">
        <f t="shared" si="0"/>
        <v>-150</v>
      </c>
      <c r="F83" s="15">
        <f t="shared" si="0"/>
        <v>-150</v>
      </c>
      <c r="G83" s="15">
        <f t="shared" si="0"/>
        <v>-150</v>
      </c>
    </row>
    <row r="84" spans="2:7" ht="14.25" customHeight="1" x14ac:dyDescent="0.25">
      <c r="B84" s="14" t="s">
        <v>188</v>
      </c>
      <c r="C84" s="15">
        <f>-C73</f>
        <v>-750.99452054794517</v>
      </c>
      <c r="D84" s="15">
        <f>-D73</f>
        <v>-750.99452054794517</v>
      </c>
      <c r="E84" s="15">
        <f>-E73</f>
        <v>-493.76164383561638</v>
      </c>
      <c r="F84" s="15">
        <f>-F73</f>
        <v>-543.95342465753424</v>
      </c>
      <c r="G84" s="15">
        <f>-G73</f>
        <v>-243.27328767123288</v>
      </c>
    </row>
    <row r="85" spans="2:7" ht="14.25" customHeight="1" x14ac:dyDescent="0.25">
      <c r="B85" s="21" t="s">
        <v>114</v>
      </c>
      <c r="C85" s="17">
        <f>SUM(C78:C84)</f>
        <v>-7147.5705205479453</v>
      </c>
      <c r="D85" s="17">
        <f>SUM(D78:D84)</f>
        <v>-7494.4345205479458</v>
      </c>
      <c r="E85" s="17">
        <f>SUM(E78:E84)</f>
        <v>-5825.1105022831052</v>
      </c>
      <c r="F85" s="17">
        <f>SUM(F78:F84)</f>
        <v>-5817.9961643835613</v>
      </c>
      <c r="G85" s="17">
        <f>SUM(G78:G84)</f>
        <v>-5165.2332876712335</v>
      </c>
    </row>
    <row r="86" spans="2:7" ht="15" customHeight="1" x14ac:dyDescent="0.25">
      <c r="B86" s="22"/>
    </row>
    <row r="87" spans="2:7" ht="14.25" customHeight="1" x14ac:dyDescent="0.25">
      <c r="B87" s="49" t="s">
        <v>115</v>
      </c>
      <c r="C87" s="49"/>
      <c r="D87" s="49"/>
      <c r="E87" s="49"/>
      <c r="F87" s="49"/>
      <c r="G87" s="49"/>
    </row>
    <row r="88" spans="2:7" ht="14.25" customHeight="1" x14ac:dyDescent="0.25">
      <c r="B88" s="14" t="s">
        <v>116</v>
      </c>
      <c r="C88" s="15">
        <f>C85</f>
        <v>-7147.5705205479453</v>
      </c>
      <c r="D88" s="15">
        <f>D85</f>
        <v>-7494.4345205479458</v>
      </c>
      <c r="E88" s="15">
        <f>E85</f>
        <v>-5825.1105022831052</v>
      </c>
      <c r="F88" s="15">
        <f>F85</f>
        <v>-5817.9961643835613</v>
      </c>
      <c r="G88" s="15">
        <f>G85</f>
        <v>-5165.2332876712335</v>
      </c>
    </row>
    <row r="89" spans="2:7" ht="14.25" customHeight="1" x14ac:dyDescent="0.25">
      <c r="B89" s="14" t="s">
        <v>117</v>
      </c>
      <c r="C89" s="15">
        <f>C37</f>
        <v>4780.2</v>
      </c>
      <c r="D89" s="15">
        <f>D37</f>
        <v>5040.5999999999995</v>
      </c>
      <c r="E89" s="15">
        <f>E37</f>
        <v>3999</v>
      </c>
      <c r="F89" s="15">
        <f>F37</f>
        <v>4259.4000000000005</v>
      </c>
      <c r="G89" s="15">
        <f>G37</f>
        <v>3608.3999999999996</v>
      </c>
    </row>
    <row r="90" spans="2:7" ht="14.25" customHeight="1" x14ac:dyDescent="0.25">
      <c r="B90" s="21" t="s">
        <v>118</v>
      </c>
      <c r="C90" s="17">
        <f>C88+C89</f>
        <v>-2367.3705205479455</v>
      </c>
      <c r="D90" s="17">
        <f>D88+D89</f>
        <v>-2453.8345205479463</v>
      </c>
      <c r="E90" s="17">
        <f>E88+E89</f>
        <v>-1826.1105022831052</v>
      </c>
      <c r="F90" s="17">
        <f>F88+F89</f>
        <v>-1558.5961643835608</v>
      </c>
      <c r="G90" s="17">
        <f>G88+G89</f>
        <v>-1556.8332876712338</v>
      </c>
    </row>
    <row r="91" spans="2:7" ht="15" customHeight="1" x14ac:dyDescent="0.25">
      <c r="B91" s="22"/>
    </row>
    <row r="92" spans="2:7" ht="14.25" customHeight="1" x14ac:dyDescent="0.25">
      <c r="B92" s="49" t="s">
        <v>119</v>
      </c>
      <c r="C92" s="49"/>
      <c r="D92" s="49"/>
      <c r="E92" s="49"/>
      <c r="F92" s="49"/>
      <c r="G92" s="49"/>
    </row>
    <row r="93" spans="2:7" ht="14.25" customHeight="1" x14ac:dyDescent="0.25">
      <c r="B93" s="14" t="s">
        <v>116</v>
      </c>
      <c r="C93" s="15">
        <f>C85</f>
        <v>-7147.5705205479453</v>
      </c>
      <c r="D93" s="15">
        <f>D85</f>
        <v>-7494.4345205479458</v>
      </c>
      <c r="E93" s="15">
        <f>E85</f>
        <v>-5825.1105022831052</v>
      </c>
      <c r="F93" s="15">
        <f>F85</f>
        <v>-5817.9961643835613</v>
      </c>
      <c r="G93" s="15">
        <f>G85</f>
        <v>-5165.2332876712335</v>
      </c>
    </row>
    <row r="94" spans="2:7" ht="14.25" customHeight="1" x14ac:dyDescent="0.25">
      <c r="B94" s="14" t="s">
        <v>120</v>
      </c>
      <c r="C94" s="15">
        <f t="shared" ref="C94:G96" si="1">-C62</f>
        <v>-2897.1428571428573</v>
      </c>
      <c r="D94" s="15">
        <f t="shared" si="1"/>
        <v>-2820.0000000000005</v>
      </c>
      <c r="E94" s="15">
        <f t="shared" si="1"/>
        <v>-3278.5714285714289</v>
      </c>
      <c r="F94" s="15">
        <f t="shared" si="1"/>
        <v>-3158.5714285714284</v>
      </c>
      <c r="G94" s="15">
        <f t="shared" si="1"/>
        <v>-3415.7142857142862</v>
      </c>
    </row>
    <row r="95" spans="2:7" ht="14.25" customHeight="1" x14ac:dyDescent="0.25">
      <c r="B95" s="14" t="s">
        <v>121</v>
      </c>
      <c r="C95" s="15">
        <f t="shared" si="1"/>
        <v>-927.0857142857144</v>
      </c>
      <c r="D95" s="15">
        <f t="shared" si="1"/>
        <v>-902.4000000000002</v>
      </c>
      <c r="E95" s="15">
        <f t="shared" si="1"/>
        <v>-1311.4285714285716</v>
      </c>
      <c r="F95" s="15">
        <f t="shared" si="1"/>
        <v>-1263.4285714285713</v>
      </c>
      <c r="G95" s="15">
        <f t="shared" si="1"/>
        <v>-819.77142857142883</v>
      </c>
    </row>
    <row r="96" spans="2:7" ht="14.25" customHeight="1" x14ac:dyDescent="0.25">
      <c r="B96" s="14" t="s">
        <v>122</v>
      </c>
      <c r="C96" s="15">
        <f t="shared" si="1"/>
        <v>-2897.1428571428573</v>
      </c>
      <c r="D96" s="15">
        <f t="shared" si="1"/>
        <v>-2820.0000000000005</v>
      </c>
      <c r="E96" s="15">
        <f t="shared" si="1"/>
        <v>-3278.5714285714289</v>
      </c>
      <c r="F96" s="15">
        <f t="shared" si="1"/>
        <v>-3158.5714285714284</v>
      </c>
      <c r="G96" s="15">
        <f t="shared" si="1"/>
        <v>-3415.7142857142862</v>
      </c>
    </row>
    <row r="97" spans="2:7" ht="14.25" customHeight="1" x14ac:dyDescent="0.25">
      <c r="B97" s="16" t="s">
        <v>176</v>
      </c>
      <c r="C97" s="17">
        <f>C93+C94+C95+C96</f>
        <v>-13868.941949119375</v>
      </c>
      <c r="D97" s="17">
        <f>D93+D94+D95+D96</f>
        <v>-14036.834520547945</v>
      </c>
      <c r="E97" s="17">
        <f>E93+E94+E95+E96</f>
        <v>-13693.681930854536</v>
      </c>
      <c r="F97" s="17">
        <f>F93+F94+F95+F96</f>
        <v>-13398.567592954991</v>
      </c>
      <c r="G97" s="17">
        <f>G93+G94+G95+G96</f>
        <v>-12816.433287671234</v>
      </c>
    </row>
    <row r="98" spans="2:7" ht="14.25" customHeight="1" x14ac:dyDescent="0.25">
      <c r="B98" s="14" t="s">
        <v>123</v>
      </c>
      <c r="C98" s="15">
        <f>C44</f>
        <v>11160</v>
      </c>
      <c r="D98" s="15">
        <f>D44</f>
        <v>11160</v>
      </c>
      <c r="E98" s="15">
        <f>E44</f>
        <v>11160</v>
      </c>
      <c r="F98" s="15">
        <f>F44</f>
        <v>11160</v>
      </c>
      <c r="G98" s="15">
        <f>G44</f>
        <v>11160</v>
      </c>
    </row>
    <row r="99" spans="2:7" ht="14.25" customHeight="1" x14ac:dyDescent="0.25">
      <c r="B99" s="21" t="s">
        <v>177</v>
      </c>
      <c r="C99" s="17">
        <f>C97+C98</f>
        <v>-2708.9419491193748</v>
      </c>
      <c r="D99" s="17">
        <f>D97+D98</f>
        <v>-2876.8345205479454</v>
      </c>
      <c r="E99" s="17">
        <f>E97+E98</f>
        <v>-2533.6819308545364</v>
      </c>
      <c r="F99" s="17">
        <f>F97+F98</f>
        <v>-2238.5675929549907</v>
      </c>
      <c r="G99" s="17">
        <f>G97+G98</f>
        <v>-1656.4332876712342</v>
      </c>
    </row>
  </sheetData>
  <mergeCells count="17">
    <mergeCell ref="B3:G3"/>
    <mergeCell ref="B5:G5"/>
    <mergeCell ref="B14:G14"/>
    <mergeCell ref="B18:G18"/>
    <mergeCell ref="B21:G21"/>
    <mergeCell ref="B29:G29"/>
    <mergeCell ref="B31:G31"/>
    <mergeCell ref="B39:G39"/>
    <mergeCell ref="B46:G46"/>
    <mergeCell ref="B77:G77"/>
    <mergeCell ref="B87:G87"/>
    <mergeCell ref="B92:G92"/>
    <mergeCell ref="B48:G48"/>
    <mergeCell ref="B54:G54"/>
    <mergeCell ref="B61:G61"/>
    <mergeCell ref="B66:G66"/>
    <mergeCell ref="B75:G75"/>
  </mergeCells>
  <pageMargins left="0.75" right="0.75" top="1" bottom="1" header="0.511811023622047" footer="0.511811023622047"/>
  <pageSetup paperSize="9" scale="6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66"/>
  <sheetViews>
    <sheetView topLeftCell="D1" zoomScale="85" zoomScaleNormal="85" workbookViewId="0">
      <selection activeCell="H22" sqref="H22"/>
    </sheetView>
  </sheetViews>
  <sheetFormatPr defaultColWidth="8.5703125" defaultRowHeight="15" x14ac:dyDescent="0.25"/>
  <cols>
    <col min="1" max="1" width="3" customWidth="1"/>
    <col min="2" max="2" width="57.85546875" bestFit="1" customWidth="1"/>
    <col min="3" max="7" width="17" customWidth="1"/>
  </cols>
  <sheetData>
    <row r="1" spans="2:7" ht="17.25" customHeight="1" x14ac:dyDescent="0.3">
      <c r="B1" s="2" t="s">
        <v>125</v>
      </c>
    </row>
    <row r="2" spans="2:7" ht="14.25" customHeight="1" x14ac:dyDescent="0.25">
      <c r="B2" s="23" t="s">
        <v>126</v>
      </c>
    </row>
    <row r="4" spans="2:7" ht="15" customHeight="1" x14ac:dyDescent="0.25">
      <c r="B4" s="44" t="s">
        <v>127</v>
      </c>
      <c r="C4" s="44"/>
      <c r="D4" s="44"/>
      <c r="E4" s="44"/>
      <c r="F4" s="44"/>
      <c r="G4" s="44"/>
    </row>
    <row r="5" spans="2:7" ht="14.25" customHeight="1" x14ac:dyDescent="0.25">
      <c r="C5" s="13" t="s">
        <v>49</v>
      </c>
      <c r="D5" s="13" t="s">
        <v>50</v>
      </c>
      <c r="E5" s="13" t="s">
        <v>51</v>
      </c>
      <c r="F5" s="13" t="s">
        <v>52</v>
      </c>
      <c r="G5" s="13" t="s">
        <v>53</v>
      </c>
    </row>
    <row r="6" spans="2:7" ht="14.25" customHeight="1" x14ac:dyDescent="0.25">
      <c r="B6" s="16" t="s">
        <v>128</v>
      </c>
      <c r="C6" s="17">
        <f>Beregninger!C27</f>
        <v>44021.536000000007</v>
      </c>
      <c r="D6" s="17">
        <f>Beregninger!D27</f>
        <v>43573.815999999999</v>
      </c>
      <c r="E6" s="17">
        <f>Beregninger!E27</f>
        <v>44872.711276712333</v>
      </c>
      <c r="F6" s="17">
        <f>Beregninger!F27</f>
        <v>44779.168295890413</v>
      </c>
      <c r="G6" s="17">
        <f>Beregninger!G27</f>
        <v>44968.880000000005</v>
      </c>
    </row>
    <row r="7" spans="2:7" ht="14.25" customHeight="1" x14ac:dyDescent="0.25">
      <c r="B7" s="14" t="s">
        <v>129</v>
      </c>
      <c r="C7" s="15">
        <f>$G$6-C6</f>
        <v>947.34399999999732</v>
      </c>
      <c r="D7" s="15">
        <f>$G$6-D6</f>
        <v>1395.0640000000058</v>
      </c>
      <c r="E7" s="15">
        <f>$G$6-E6</f>
        <v>96.168723287672037</v>
      </c>
      <c r="F7" s="15">
        <f>$G$6-F6</f>
        <v>189.71170410959166</v>
      </c>
      <c r="G7" s="15">
        <f>$G$6-G6</f>
        <v>0</v>
      </c>
    </row>
    <row r="9" spans="2:7" ht="15" customHeight="1" x14ac:dyDescent="0.25">
      <c r="B9" s="44" t="s">
        <v>130</v>
      </c>
      <c r="C9" s="44"/>
      <c r="D9" s="44"/>
      <c r="E9" s="44"/>
      <c r="F9" s="44"/>
      <c r="G9" s="44"/>
    </row>
    <row r="10" spans="2:7" ht="14.25" customHeight="1" x14ac:dyDescent="0.25">
      <c r="C10" s="13" t="s">
        <v>49</v>
      </c>
      <c r="D10" s="13" t="s">
        <v>50</v>
      </c>
      <c r="E10" s="13" t="s">
        <v>51</v>
      </c>
      <c r="F10" s="13" t="s">
        <v>52</v>
      </c>
      <c r="G10" s="13" t="s">
        <v>53</v>
      </c>
    </row>
    <row r="11" spans="2:7" ht="14.25" customHeight="1" x14ac:dyDescent="0.25">
      <c r="B11" s="14" t="s">
        <v>124</v>
      </c>
      <c r="C11" s="15">
        <f>Beregninger!C99</f>
        <v>-2708.9419491193748</v>
      </c>
      <c r="D11" s="15">
        <f>Beregninger!D99</f>
        <v>-2876.8345205479454</v>
      </c>
      <c r="E11" s="15">
        <f>Beregninger!E99</f>
        <v>-2533.6819308545364</v>
      </c>
      <c r="F11" s="15">
        <f>Beregninger!F99</f>
        <v>-2238.5675929549907</v>
      </c>
      <c r="G11" s="15">
        <f>Beregninger!G99</f>
        <v>-1656.4332876712342</v>
      </c>
    </row>
    <row r="12" spans="2:7" ht="14.25" customHeight="1" x14ac:dyDescent="0.25">
      <c r="B12" s="14" t="s">
        <v>131</v>
      </c>
      <c r="C12" s="15">
        <f>Beregninger!C90</f>
        <v>-2367.3705205479455</v>
      </c>
      <c r="D12" s="15">
        <f>Beregninger!D90</f>
        <v>-2453.8345205479463</v>
      </c>
      <c r="E12" s="15">
        <f>Beregninger!E90</f>
        <v>-1826.1105022831052</v>
      </c>
      <c r="F12" s="15">
        <f>Beregninger!F90</f>
        <v>-1558.5961643835608</v>
      </c>
      <c r="G12" s="15">
        <f>Beregninger!G90</f>
        <v>-1556.8332876712338</v>
      </c>
    </row>
    <row r="13" spans="2:7" ht="14.25" customHeight="1" x14ac:dyDescent="0.25">
      <c r="B13" s="16" t="s">
        <v>132</v>
      </c>
      <c r="C13" s="17">
        <f>Indtastning!$C$8*C11+(1-Indtastning!$C$8)*C12</f>
        <v>-2478.3812348336601</v>
      </c>
      <c r="D13" s="17">
        <f>Indtastning!$C$8*D11+(1-Indtastning!$C$8)*D12</f>
        <v>-2591.3095205479462</v>
      </c>
      <c r="E13" s="17">
        <f>Indtastning!$C$8*E11+(1-Indtastning!$C$8)*E12</f>
        <v>-2056.0712165688205</v>
      </c>
      <c r="F13" s="17">
        <f>Indtastning!$C$8*F11+(1-Indtastning!$C$8)*F12</f>
        <v>-1779.5868786692758</v>
      </c>
      <c r="G13" s="17">
        <f>Indtastning!$C$8*G11+(1-Indtastning!$C$8)*G12</f>
        <v>-1589.203287671234</v>
      </c>
    </row>
    <row r="15" spans="2:7" ht="15" customHeight="1" x14ac:dyDescent="0.25">
      <c r="B15" s="44" t="s">
        <v>133</v>
      </c>
      <c r="C15" s="44"/>
      <c r="D15" s="44"/>
      <c r="E15" s="44"/>
      <c r="F15" s="44"/>
      <c r="G15" s="44"/>
    </row>
    <row r="16" spans="2:7" ht="14.25" customHeight="1" x14ac:dyDescent="0.25">
      <c r="C16" s="13" t="s">
        <v>49</v>
      </c>
      <c r="D16" s="13" t="s">
        <v>50</v>
      </c>
      <c r="E16" s="13" t="s">
        <v>51</v>
      </c>
      <c r="F16" s="13" t="s">
        <v>52</v>
      </c>
      <c r="G16" s="13" t="s">
        <v>53</v>
      </c>
    </row>
    <row r="17" spans="2:7" ht="14.25" customHeight="1" x14ac:dyDescent="0.25">
      <c r="B17" s="16" t="s">
        <v>134</v>
      </c>
      <c r="C17" s="17">
        <f>C6+C13</f>
        <v>41543.15476516635</v>
      </c>
      <c r="D17" s="17">
        <f>D6+D13</f>
        <v>40982.506479452051</v>
      </c>
      <c r="E17" s="17">
        <f>E6+E13</f>
        <v>42816.640060143509</v>
      </c>
      <c r="F17" s="17">
        <f>F6+F13</f>
        <v>42999.581417221139</v>
      </c>
      <c r="G17" s="17">
        <f>G6+G13</f>
        <v>43379.676712328772</v>
      </c>
    </row>
    <row r="18" spans="2:7" ht="14.25" customHeight="1" x14ac:dyDescent="0.25">
      <c r="B18" s="14" t="s">
        <v>135</v>
      </c>
      <c r="C18" s="15">
        <f>C17*Indtastning!$C$5</f>
        <v>11175108.631829748</v>
      </c>
      <c r="D18" s="15">
        <f>D17*Indtastning!$C$5</f>
        <v>11024294.242972601</v>
      </c>
      <c r="E18" s="15">
        <f>E17*Indtastning!$C$5</f>
        <v>11517676.176178604</v>
      </c>
      <c r="F18" s="15">
        <f>F17*Indtastning!$C$5</f>
        <v>11566887.401232487</v>
      </c>
      <c r="G18" s="15">
        <f>G17*Indtastning!$C$5</f>
        <v>11669133.035616439</v>
      </c>
    </row>
    <row r="19" spans="2:7" ht="14.25" customHeight="1" x14ac:dyDescent="0.25">
      <c r="B19" s="14" t="s">
        <v>136</v>
      </c>
      <c r="C19" s="27">
        <f>C17-$G$17</f>
        <v>-1836.5219471624223</v>
      </c>
      <c r="D19" s="27">
        <f>D17-$G$17</f>
        <v>-2397.1702328767205</v>
      </c>
      <c r="E19" s="27">
        <f>E17-$G$17</f>
        <v>-563.03665218526294</v>
      </c>
      <c r="F19" s="27">
        <f>F17-$G$17</f>
        <v>-380.09529510763241</v>
      </c>
      <c r="G19" s="27">
        <f>G17-$G$17</f>
        <v>0</v>
      </c>
    </row>
    <row r="21" spans="2:7" ht="15" customHeight="1" x14ac:dyDescent="0.25">
      <c r="B21" s="22"/>
    </row>
    <row r="22" spans="2:7" ht="14.25" customHeight="1" x14ac:dyDescent="0.25">
      <c r="B22" s="14"/>
      <c r="C22" s="24"/>
      <c r="D22" s="24"/>
      <c r="E22" s="24"/>
      <c r="F22" s="24"/>
      <c r="G22" s="24"/>
    </row>
    <row r="23" spans="2:7" ht="14.25" customHeight="1" x14ac:dyDescent="0.25">
      <c r="B23" s="14"/>
      <c r="C23" s="25"/>
      <c r="D23" s="25"/>
      <c r="E23" s="25"/>
      <c r="F23" s="25"/>
      <c r="G23" s="25"/>
    </row>
    <row r="24" spans="2:7" ht="14.25" customHeight="1" x14ac:dyDescent="0.25">
      <c r="B24" s="14"/>
      <c r="C24" s="26"/>
      <c r="D24" s="26"/>
      <c r="E24" s="26"/>
      <c r="F24" s="26"/>
      <c r="G24" s="26"/>
    </row>
    <row r="25" spans="2:7" ht="14.25" customHeight="1" x14ac:dyDescent="0.25">
      <c r="B25" s="14"/>
      <c r="C25" s="26"/>
      <c r="D25" s="26"/>
      <c r="E25" s="26"/>
      <c r="F25" s="26"/>
      <c r="G25" s="26"/>
    </row>
    <row r="58" spans="2:7" x14ac:dyDescent="0.25">
      <c r="B58" t="s">
        <v>180</v>
      </c>
    </row>
    <row r="60" spans="2:7" ht="14.25" customHeight="1" x14ac:dyDescent="0.25">
      <c r="B60" s="41" t="s">
        <v>137</v>
      </c>
      <c r="C60" s="42">
        <f>Beregninger!C78</f>
        <v>-4835.3760000000002</v>
      </c>
      <c r="D60" s="42">
        <f>Beregninger!D78</f>
        <v>-5372.64</v>
      </c>
      <c r="E60" s="42">
        <f>Beregninger!E78</f>
        <v>-3075.7488584474886</v>
      </c>
      <c r="F60" s="42">
        <f>Beregninger!F78</f>
        <v>-3332.0427397260273</v>
      </c>
      <c r="G60" s="42">
        <f>Beregninger!G78</f>
        <v>-2520.7600000000002</v>
      </c>
    </row>
    <row r="61" spans="2:7" ht="14.25" customHeight="1" x14ac:dyDescent="0.25">
      <c r="B61" s="41" t="s">
        <v>109</v>
      </c>
      <c r="C61" s="42">
        <f>Beregninger!C79</f>
        <v>-840</v>
      </c>
      <c r="D61" s="42">
        <f>Beregninger!D79</f>
        <v>-700</v>
      </c>
      <c r="E61" s="42">
        <f>Beregninger!E79</f>
        <v>-1400</v>
      </c>
      <c r="F61" s="42">
        <f>Beregninger!F79</f>
        <v>-1120</v>
      </c>
      <c r="G61" s="42">
        <f>Beregninger!G79</f>
        <v>-1680</v>
      </c>
    </row>
    <row r="62" spans="2:7" ht="14.25" customHeight="1" x14ac:dyDescent="0.25">
      <c r="B62" s="41" t="s">
        <v>110</v>
      </c>
      <c r="C62" s="42">
        <f>Beregninger!C80</f>
        <v>-268.8</v>
      </c>
      <c r="D62" s="42">
        <f>Beregninger!D80</f>
        <v>-268.8</v>
      </c>
      <c r="E62" s="42">
        <f>Beregninger!E80</f>
        <v>-336</v>
      </c>
      <c r="F62" s="42">
        <f>Beregninger!F80</f>
        <v>-336</v>
      </c>
      <c r="G62" s="42">
        <f>Beregninger!G80</f>
        <v>-201.60000000000002</v>
      </c>
    </row>
    <row r="63" spans="2:7" ht="14.25" customHeight="1" x14ac:dyDescent="0.25">
      <c r="B63" s="41" t="s">
        <v>20</v>
      </c>
      <c r="C63" s="42">
        <f>Beregninger!C81</f>
        <v>-302.40000000000003</v>
      </c>
      <c r="D63" s="42">
        <f>Beregninger!D81</f>
        <v>-252</v>
      </c>
      <c r="E63" s="42">
        <f>Beregninger!E81</f>
        <v>-369.6</v>
      </c>
      <c r="F63" s="42">
        <f>Beregninger!F81</f>
        <v>-336</v>
      </c>
      <c r="G63" s="42">
        <f>Beregninger!G81</f>
        <v>-369.6</v>
      </c>
    </row>
    <row r="64" spans="2:7" ht="14.25" customHeight="1" x14ac:dyDescent="0.25">
      <c r="B64" s="41" t="s">
        <v>111</v>
      </c>
      <c r="C64" s="42">
        <f>Beregninger!C82</f>
        <v>0</v>
      </c>
      <c r="D64" s="42">
        <f>Beregninger!D82</f>
        <v>0</v>
      </c>
      <c r="E64" s="42">
        <f>Beregninger!E82</f>
        <v>0</v>
      </c>
      <c r="F64" s="42">
        <f>Beregninger!F82</f>
        <v>0</v>
      </c>
      <c r="G64" s="42">
        <f>Beregninger!G82</f>
        <v>0</v>
      </c>
    </row>
    <row r="65" spans="2:7" ht="14.25" customHeight="1" x14ac:dyDescent="0.25">
      <c r="B65" s="41" t="s">
        <v>112</v>
      </c>
      <c r="C65" s="42">
        <f>Beregninger!C83</f>
        <v>-150</v>
      </c>
      <c r="D65" s="42">
        <f>Beregninger!D83</f>
        <v>-150</v>
      </c>
      <c r="E65" s="42">
        <f>Beregninger!E83</f>
        <v>-150</v>
      </c>
      <c r="F65" s="42">
        <f>Beregninger!F83</f>
        <v>-150</v>
      </c>
      <c r="G65" s="42">
        <f>Beregninger!G83</f>
        <v>-150</v>
      </c>
    </row>
    <row r="66" spans="2:7" ht="14.25" customHeight="1" x14ac:dyDescent="0.25">
      <c r="B66" s="41" t="s">
        <v>113</v>
      </c>
      <c r="C66" s="42">
        <f>Beregninger!C84</f>
        <v>-750.99452054794517</v>
      </c>
      <c r="D66" s="42">
        <f>Beregninger!D84</f>
        <v>-750.99452054794517</v>
      </c>
      <c r="E66" s="42">
        <f>Beregninger!E84</f>
        <v>-493.76164383561638</v>
      </c>
      <c r="F66" s="42">
        <f>Beregninger!F84</f>
        <v>-543.95342465753424</v>
      </c>
      <c r="G66" s="42">
        <f>Beregninger!G84</f>
        <v>-243.27328767123288</v>
      </c>
    </row>
  </sheetData>
  <mergeCells count="3">
    <mergeCell ref="B4:G4"/>
    <mergeCell ref="B9:G9"/>
    <mergeCell ref="B15:G15"/>
  </mergeCells>
  <pageMargins left="0.75" right="0.75" top="1" bottom="1" header="0.511811023622047" footer="0.511811023622047"/>
  <pageSetup paperSize="9" scale="6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Indtastning</vt:lpstr>
      <vt:lpstr>Beregninger</vt:lpstr>
      <vt:lpstr>Resultater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Maja Bertelsen</cp:lastModifiedBy>
  <cp:revision>13</cp:revision>
  <cp:lastPrinted>2026-07-01T11:44:15Z</cp:lastPrinted>
  <dcterms:created xsi:type="dcterms:W3CDTF">2026-07-01T10:03:02Z</dcterms:created>
  <dcterms:modified xsi:type="dcterms:W3CDTF">2026-07-09T13:19:09Z</dcterms:modified>
  <dc:language>en-US</dc:language>
</cp:coreProperties>
</file>