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2025\1219_FØL_PLANTE_ABOR_Sunde_og_velsmagende_bælgfrugter\01_Arbejdsmappe\Beregningsværktøj\"/>
    </mc:Choice>
  </mc:AlternateContent>
  <xr:revisionPtr revIDLastSave="0" documentId="13_ncr:1_{38576B69-4440-4FF4-A22D-27B1D3CAB20C}" xr6:coauthVersionLast="47" xr6:coauthVersionMax="47" xr10:uidLastSave="{00000000-0000-0000-0000-000000000000}"/>
  <bookViews>
    <workbookView xWindow="-120" yWindow="-120" windowWidth="29040" windowHeight="15720" tabRatio="807" xr2:uid="{00000000-000D-0000-FFFF-FFFF00000000}"/>
  </bookViews>
  <sheets>
    <sheet name="Introduktion" sheetId="11" r:id="rId1"/>
    <sheet name="Beregn omkostninger" sheetId="3" r:id="rId2"/>
    <sheet name="Følsomhed udbytte og areal" sheetId="12" r:id="rId3"/>
    <sheet name="Investeringsberegning udstyr" sheetId="9" r:id="rId4"/>
  </sheets>
  <definedNames>
    <definedName name="_xlnm.Print_Area" localSheetId="1">'Beregn omkostninger'!$B$2:$L$55</definedName>
    <definedName name="_xlnm.Print_Area" localSheetId="2">'Følsomhed udbytte og areal'!$C$2:$N$21</definedName>
    <definedName name="_xlnm.Print_Area" localSheetId="0">Introduktion!$B$2:$L$17</definedName>
    <definedName name="_xlnm.Print_Area" localSheetId="3">'Investeringsberegning udstyr'!$B$2:$E$50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 l="1"/>
  <c r="E10" i="12"/>
  <c r="F10" i="12"/>
  <c r="G10" i="12"/>
  <c r="H10" i="12"/>
  <c r="I10" i="12"/>
  <c r="J10" i="12"/>
  <c r="K10" i="12"/>
  <c r="L10" i="12"/>
  <c r="M10" i="12"/>
  <c r="N10" i="12"/>
  <c r="D12" i="12"/>
  <c r="D13" i="12"/>
  <c r="D14" i="12"/>
  <c r="D15" i="12"/>
  <c r="D16" i="12"/>
  <c r="D17" i="12"/>
  <c r="D18" i="12"/>
  <c r="D19" i="12"/>
  <c r="D20" i="12"/>
  <c r="D21" i="12"/>
  <c r="I11" i="3"/>
  <c r="J11" i="3"/>
  <c r="K11" i="3" s="1"/>
  <c r="I15" i="3"/>
  <c r="J15" i="3"/>
  <c r="K15" i="3" s="1"/>
  <c r="I18" i="3"/>
  <c r="J18" i="3"/>
  <c r="K18" i="3" s="1"/>
  <c r="I20" i="3"/>
  <c r="J20" i="3" s="1"/>
  <c r="I22" i="3"/>
  <c r="J22" i="3"/>
  <c r="K22" i="3" s="1"/>
  <c r="I26" i="3"/>
  <c r="J26" i="3"/>
  <c r="K26" i="3" s="1"/>
  <c r="D28" i="3"/>
  <c r="I28" i="3" s="1"/>
  <c r="D30" i="3"/>
  <c r="J30" i="3" s="1"/>
  <c r="K30" i="3" s="1"/>
  <c r="D32" i="3"/>
  <c r="I32" i="3" s="1"/>
  <c r="D34" i="3"/>
  <c r="J34" i="3" s="1"/>
  <c r="K34" i="3" s="1"/>
  <c r="D36" i="3"/>
  <c r="I36" i="3" s="1"/>
  <c r="I38" i="3"/>
  <c r="J38" i="3"/>
  <c r="K38" i="3" s="1"/>
  <c r="I40" i="3"/>
  <c r="J40" i="3"/>
  <c r="K40" i="3" s="1"/>
  <c r="I42" i="3"/>
  <c r="J42" i="3"/>
  <c r="K42" i="3" s="1"/>
  <c r="I44" i="3"/>
  <c r="J44" i="3"/>
  <c r="K44" i="3" s="1"/>
  <c r="K55" i="3" s="1"/>
  <c r="I46" i="3"/>
  <c r="J46" i="3"/>
  <c r="K46" i="3" s="1"/>
  <c r="I48" i="3"/>
  <c r="J48" i="3"/>
  <c r="K48" i="3" s="1"/>
  <c r="C7" i="9"/>
  <c r="C27" i="9" s="1"/>
  <c r="C47" i="9" s="1"/>
  <c r="B50" i="9"/>
  <c r="B49" i="9"/>
  <c r="B48" i="9"/>
  <c r="B47" i="9"/>
  <c r="B46" i="9"/>
  <c r="B45" i="9"/>
  <c r="B44" i="9"/>
  <c r="D42" i="9"/>
  <c r="B39" i="9"/>
  <c r="C38" i="9"/>
  <c r="C48" i="9" s="1"/>
  <c r="B36" i="9"/>
  <c r="B35" i="9"/>
  <c r="B34" i="9"/>
  <c r="B33" i="9"/>
  <c r="B43" i="9" s="1"/>
  <c r="C32" i="9"/>
  <c r="C24" i="9"/>
  <c r="B24" i="9"/>
  <c r="C22" i="9"/>
  <c r="D19" i="9"/>
  <c r="C13" i="9"/>
  <c r="C23" i="9" s="1"/>
  <c r="D8" i="9"/>
  <c r="E16" i="9" s="1"/>
  <c r="J28" i="3" l="1"/>
  <c r="J55" i="3" s="1"/>
  <c r="M6" i="12" s="1"/>
  <c r="N6" i="12"/>
  <c r="K20" i="3"/>
  <c r="I34" i="3"/>
  <c r="J32" i="3"/>
  <c r="K32" i="3" s="1"/>
  <c r="J36" i="3"/>
  <c r="K36" i="3" s="1"/>
  <c r="I30" i="3"/>
  <c r="C9" i="9"/>
  <c r="C34" i="9" s="1"/>
  <c r="C44" i="9" s="1"/>
  <c r="C25" i="9"/>
  <c r="I51" i="3" l="1"/>
  <c r="I55" i="3"/>
  <c r="K28" i="3"/>
  <c r="K51" i="3" s="1"/>
  <c r="C26" i="9"/>
  <c r="C46" i="9" s="1"/>
  <c r="C49" i="9" s="1"/>
  <c r="J51" i="3"/>
  <c r="C28" i="9"/>
  <c r="C33" i="9"/>
  <c r="C43" i="9" s="1"/>
  <c r="C45" i="9" s="1"/>
  <c r="C37" i="9"/>
  <c r="AY60" i="3" l="1"/>
  <c r="H13" i="12" s="1"/>
  <c r="L6" i="12"/>
  <c r="BD66" i="3"/>
  <c r="M19" i="12" s="1"/>
  <c r="AZ63" i="3"/>
  <c r="I16" i="12" s="1"/>
  <c r="AV62" i="3"/>
  <c r="E15" i="12" s="1"/>
  <c r="AW67" i="3"/>
  <c r="F20" i="12" s="1"/>
  <c r="AW60" i="3"/>
  <c r="F13" i="12" s="1"/>
  <c r="BD59" i="3"/>
  <c r="M12" i="12" s="1"/>
  <c r="BC67" i="3"/>
  <c r="L20" i="12" s="1"/>
  <c r="AV68" i="3"/>
  <c r="E21" i="12" s="1"/>
  <c r="AY61" i="3"/>
  <c r="H14" i="12" s="1"/>
  <c r="AY66" i="3"/>
  <c r="H19" i="12" s="1"/>
  <c r="BE65" i="3"/>
  <c r="N18" i="12" s="1"/>
  <c r="AZ65" i="3"/>
  <c r="I18" i="12" s="1"/>
  <c r="BA66" i="3"/>
  <c r="J19" i="12" s="1"/>
  <c r="BA61" i="3"/>
  <c r="J14" i="12" s="1"/>
  <c r="BD62" i="3"/>
  <c r="M15" i="12" s="1"/>
  <c r="AV61" i="3"/>
  <c r="E14" i="12" s="1"/>
  <c r="AX67" i="3"/>
  <c r="G20" i="12" s="1"/>
  <c r="BE63" i="3"/>
  <c r="N16" i="12" s="1"/>
  <c r="AW66" i="3"/>
  <c r="F19" i="12" s="1"/>
  <c r="AX65" i="3"/>
  <c r="G18" i="12" s="1"/>
  <c r="AY64" i="3"/>
  <c r="H17" i="12" s="1"/>
  <c r="AZ67" i="3"/>
  <c r="I20" i="12" s="1"/>
  <c r="AX63" i="3"/>
  <c r="G16" i="12" s="1"/>
  <c r="AV63" i="3"/>
  <c r="E16" i="12" s="1"/>
  <c r="BE68" i="3"/>
  <c r="N21" i="12" s="1"/>
  <c r="BB65" i="3"/>
  <c r="K18" i="12" s="1"/>
  <c r="AY65" i="3"/>
  <c r="H18" i="12" s="1"/>
  <c r="AV59" i="3"/>
  <c r="E12" i="12" s="1"/>
  <c r="BA63" i="3"/>
  <c r="J16" i="12" s="1"/>
  <c r="AY59" i="3"/>
  <c r="H12" i="12" s="1"/>
  <c r="BD65" i="3"/>
  <c r="M18" i="12" s="1"/>
  <c r="AY63" i="3"/>
  <c r="H16" i="12" s="1"/>
  <c r="BB61" i="3"/>
  <c r="K14" i="12" s="1"/>
  <c r="BB68" i="3"/>
  <c r="K21" i="12" s="1"/>
  <c r="AX62" i="3"/>
  <c r="G15" i="12" s="1"/>
  <c r="BE59" i="3"/>
  <c r="N12" i="12" s="1"/>
  <c r="AY67" i="3"/>
  <c r="H20" i="12" s="1"/>
  <c r="AV64" i="3"/>
  <c r="E17" i="12" s="1"/>
  <c r="AY62" i="3"/>
  <c r="H15" i="12" s="1"/>
  <c r="BA64" i="3"/>
  <c r="J17" i="12" s="1"/>
  <c r="AX59" i="3"/>
  <c r="G12" i="12" s="1"/>
  <c r="BC62" i="3"/>
  <c r="L15" i="12" s="1"/>
  <c r="AW59" i="3"/>
  <c r="F12" i="12" s="1"/>
  <c r="BE64" i="3"/>
  <c r="N17" i="12" s="1"/>
  <c r="BA59" i="3"/>
  <c r="J12" i="12" s="1"/>
  <c r="AX61" i="3"/>
  <c r="G14" i="12" s="1"/>
  <c r="AW63" i="3"/>
  <c r="F16" i="12" s="1"/>
  <c r="BB67" i="3"/>
  <c r="K20" i="12" s="1"/>
  <c r="AX64" i="3"/>
  <c r="G17" i="12" s="1"/>
  <c r="BC61" i="3"/>
  <c r="L14" i="12" s="1"/>
  <c r="AV60" i="3"/>
  <c r="E13" i="12" s="1"/>
  <c r="BD67" i="3"/>
  <c r="M20" i="12" s="1"/>
  <c r="AZ61" i="3"/>
  <c r="I14" i="12" s="1"/>
  <c r="AX68" i="3"/>
  <c r="G21" i="12" s="1"/>
  <c r="BC65" i="3"/>
  <c r="L18" i="12" s="1"/>
  <c r="AZ62" i="3"/>
  <c r="I15" i="12" s="1"/>
  <c r="BC60" i="3"/>
  <c r="L13" i="12" s="1"/>
  <c r="BC63" i="3"/>
  <c r="L16" i="12" s="1"/>
  <c r="AY68" i="3"/>
  <c r="H21" i="12" s="1"/>
  <c r="BE61" i="3"/>
  <c r="N14" i="12" s="1"/>
  <c r="AW68" i="3"/>
  <c r="F21" i="12" s="1"/>
  <c r="BC64" i="3"/>
  <c r="L17" i="12" s="1"/>
  <c r="AZ64" i="3"/>
  <c r="I17" i="12" s="1"/>
  <c r="BD68" i="3"/>
  <c r="M21" i="12" s="1"/>
  <c r="BE66" i="3"/>
  <c r="N19" i="12" s="1"/>
  <c r="AW65" i="3"/>
  <c r="F18" i="12" s="1"/>
  <c r="BD63" i="3"/>
  <c r="M16" i="12" s="1"/>
  <c r="AV66" i="3"/>
  <c r="E19" i="12" s="1"/>
  <c r="BB62" i="3"/>
  <c r="K15" i="12" s="1"/>
  <c r="BE60" i="3"/>
  <c r="N13" i="12" s="1"/>
  <c r="BB59" i="3"/>
  <c r="K12" i="12" s="1"/>
  <c r="AV67" i="3"/>
  <c r="E20" i="12" s="1"/>
  <c r="BB60" i="3"/>
  <c r="K13" i="12" s="1"/>
  <c r="BB66" i="3"/>
  <c r="K19" i="12" s="1"/>
  <c r="AW64" i="3"/>
  <c r="F17" i="12" s="1"/>
  <c r="BD60" i="3"/>
  <c r="M13" i="12" s="1"/>
  <c r="AZ59" i="3"/>
  <c r="I12" i="12" s="1"/>
  <c r="BE62" i="3"/>
  <c r="N15" i="12" s="1"/>
  <c r="BA67" i="3"/>
  <c r="J20" i="12" s="1"/>
  <c r="AW61" i="3"/>
  <c r="F14" i="12" s="1"/>
  <c r="AZ60" i="3"/>
  <c r="I13" i="12" s="1"/>
  <c r="AZ66" i="3"/>
  <c r="I19" i="12" s="1"/>
  <c r="BB64" i="3"/>
  <c r="K17" i="12" s="1"/>
  <c r="BD61" i="3"/>
  <c r="M14" i="12" s="1"/>
  <c r="BA65" i="3"/>
  <c r="J18" i="12" s="1"/>
  <c r="BA60" i="3"/>
  <c r="J13" i="12" s="1"/>
  <c r="BD64" i="3"/>
  <c r="M17" i="12" s="1"/>
  <c r="BB63" i="3"/>
  <c r="K16" i="12" s="1"/>
  <c r="AX60" i="3"/>
  <c r="G13" i="12" s="1"/>
  <c r="BC59" i="3"/>
  <c r="L12" i="12" s="1"/>
  <c r="BE67" i="3"/>
  <c r="N20" i="12" s="1"/>
  <c r="AX66" i="3"/>
  <c r="G19" i="12" s="1"/>
  <c r="AZ68" i="3"/>
  <c r="I21" i="12" s="1"/>
  <c r="AV65" i="3"/>
  <c r="E18" i="12" s="1"/>
  <c r="BA62" i="3"/>
  <c r="J15" i="12" s="1"/>
  <c r="BC68" i="3"/>
  <c r="L21" i="12" s="1"/>
  <c r="BA68" i="3"/>
  <c r="J21" i="12" s="1"/>
  <c r="AW62" i="3"/>
  <c r="F15" i="12" s="1"/>
  <c r="BC66" i="3"/>
  <c r="L19" i="12" s="1"/>
  <c r="C35" i="9"/>
  <c r="C36" i="9"/>
  <c r="C39" i="9" s="1"/>
  <c r="C29" i="9"/>
  <c r="C30" i="9" s="1"/>
  <c r="C40" i="9" l="1"/>
  <c r="C50" i="9" s="1"/>
</calcChain>
</file>

<file path=xl/sharedStrings.xml><?xml version="1.0" encoding="utf-8"?>
<sst xmlns="http://schemas.openxmlformats.org/spreadsheetml/2006/main" count="166" uniqueCount="128">
  <si>
    <t>Emne</t>
  </si>
  <si>
    <t>Udbytte</t>
  </si>
  <si>
    <t>Stykomkostninger</t>
  </si>
  <si>
    <t>Maskin- og arbejdsomkostninger</t>
  </si>
  <si>
    <t>kr. pr. ha</t>
  </si>
  <si>
    <t>Lugning (time)</t>
  </si>
  <si>
    <t>ha</t>
  </si>
  <si>
    <t>Skårlægning</t>
  </si>
  <si>
    <t>Parti afgrøde til rens af anlæg</t>
  </si>
  <si>
    <t>Ekstra skadedyrssikring</t>
  </si>
  <si>
    <t>Ekstra skånsomhed ved håndtering</t>
  </si>
  <si>
    <t>hkg</t>
  </si>
  <si>
    <t xml:space="preserve">Restriktioner på afgrødevalg </t>
  </si>
  <si>
    <t xml:space="preserve">kr. pr. </t>
  </si>
  <si>
    <t>Øvrige ekstraomkostninger konsum</t>
  </si>
  <si>
    <t>Antal ha med afgrøden til fordeling af faste omkostninger</t>
  </si>
  <si>
    <t>Ekstra rengøring af transportanlæg (time)</t>
  </si>
  <si>
    <t>Udgivelsesdato:</t>
  </si>
  <si>
    <t>Forfatter:</t>
  </si>
  <si>
    <t>Version:</t>
  </si>
  <si>
    <t>Datagrundlag og opdateringsfrekvens:</t>
  </si>
  <si>
    <t>Dokument:</t>
  </si>
  <si>
    <t>Se artikel</t>
  </si>
  <si>
    <t>Ansvar:</t>
  </si>
  <si>
    <t>Anbefalet anvendelse af værktøjet</t>
  </si>
  <si>
    <t>Begrænsninger i værktøjet</t>
  </si>
  <si>
    <t>Vejledning</t>
  </si>
  <si>
    <t>Innovationscenter for Økologisk Landbrug og SEGES Innovation P/S</t>
  </si>
  <si>
    <t>Formålet med regnearket er at understøtte planlægning af dyrkning af afgrøder til konsum. Målgruppen er primært landmænd og landbrugsrådgivere.</t>
  </si>
  <si>
    <t>hkg pr. ha</t>
  </si>
  <si>
    <t>hkg i alt</t>
  </si>
  <si>
    <r>
      <t>(</t>
    </r>
    <r>
      <rPr>
        <i/>
        <sz val="11"/>
        <color theme="1"/>
        <rFont val="Arial"/>
        <family val="2"/>
      </rPr>
      <t>f.eks. kornfri forfrugt ved glutenfri kornproduktion)</t>
    </r>
  </si>
  <si>
    <t>Sum</t>
  </si>
  <si>
    <t>antal skal angives med negativt fortegn</t>
  </si>
  <si>
    <t>Formål og målgruppe</t>
  </si>
  <si>
    <t>kr. pr. hkg</t>
  </si>
  <si>
    <t>Rengøring af såmaskine inden såning (time)</t>
  </si>
  <si>
    <t>kr. pr. time</t>
  </si>
  <si>
    <t>stk.</t>
  </si>
  <si>
    <t>timer pr. såning</t>
  </si>
  <si>
    <t>timer pr. ha</t>
  </si>
  <si>
    <t>timer pr. høst</t>
  </si>
  <si>
    <t>Ekstra rengøring af silo/lager (time)</t>
  </si>
  <si>
    <t>Indtast forudsætninger for beregning af meromkostninger ved dyrkning af afgrøder til konsum</t>
  </si>
  <si>
    <t>kr. pr. høst</t>
  </si>
  <si>
    <t>Ekstra rengøring af mejetærsker (time)</t>
  </si>
  <si>
    <t>Ekstra rengøring af vogne  (time)</t>
  </si>
  <si>
    <t>Innovationscenter for Økologisk Landbrug påtager sig intet ansvar for tab, herunder driftstab, avancetab eller anden form for direkte eller indirekte tab ved anvendelse af dette værktøj eller tilknyttede informationer og applikationer.</t>
  </si>
  <si>
    <t>Analyse for toksiner, alkaloider mv.</t>
  </si>
  <si>
    <t>parti</t>
  </si>
  <si>
    <t>Michael Højholdt, SEGES Innovation, Anna Borum og Lars Egelund Olsen, ICOEL</t>
  </si>
  <si>
    <t>2.0</t>
  </si>
  <si>
    <t xml:space="preserve"> </t>
  </si>
  <si>
    <t>https://www.landbrugsinfo.dk/public/6/b/5/okonomi_ledelse_investeringsberegning_grafisk_foelsomhedsanalyse</t>
  </si>
  <si>
    <t>https://www.landbrugsinfo.dk/basis/d/2/d/produktionsokonomi_brug_budgetkalkulerne</t>
  </si>
  <si>
    <t>Ekstra oprensning til konsumkvalitet</t>
  </si>
  <si>
    <t>Areal og udbytte for afgrøden</t>
  </si>
  <si>
    <t>Forventet udbytte i afgrøden</t>
  </si>
  <si>
    <t>Indsæt afgrødenavn</t>
  </si>
  <si>
    <t>Omkostninger til sortering ved samdyrkning</t>
  </si>
  <si>
    <t>hkg udsæd pr. ha</t>
  </si>
  <si>
    <r>
      <t xml:space="preserve">Afgrødekalkuler - bud på indtjening af afgrøder 
</t>
    </r>
    <r>
      <rPr>
        <i/>
        <sz val="11"/>
        <rFont val="Arial"/>
        <family val="2"/>
      </rPr>
      <t>(adgang til budgetkalkuler kræver rettigheder via AgroID)</t>
    </r>
  </si>
  <si>
    <r>
      <t xml:space="preserve">Investeringsberegning - baggund og beskrivelse </t>
    </r>
    <r>
      <rPr>
        <i/>
        <sz val="11"/>
        <rFont val="Arial"/>
        <family val="2"/>
      </rPr>
      <t>(Landbrugsinfo)</t>
    </r>
  </si>
  <si>
    <t>Bedrift:</t>
  </si>
  <si>
    <t>Indtast navn</t>
  </si>
  <si>
    <t>Tlf:</t>
  </si>
  <si>
    <t>Indtast nummer</t>
  </si>
  <si>
    <t>Email:</t>
  </si>
  <si>
    <t>Indtast emailadresse</t>
  </si>
  <si>
    <t>Maskintype og navn:</t>
  </si>
  <si>
    <t>Anvendelse, vælg enhed pr. år</t>
  </si>
  <si>
    <t>drop-down</t>
  </si>
  <si>
    <t>Kapacitet (sættes til 1 hvis enhed er time)</t>
  </si>
  <si>
    <t>pr. time</t>
  </si>
  <si>
    <t>Timeforbrug - beregnet</t>
  </si>
  <si>
    <t>timer</t>
  </si>
  <si>
    <t>Samlet investering</t>
  </si>
  <si>
    <t>kr.</t>
  </si>
  <si>
    <t xml:space="preserve">Værditab </t>
  </si>
  <si>
    <t xml:space="preserve"> % p.a.</t>
  </si>
  <si>
    <t>Levetid</t>
  </si>
  <si>
    <t>år</t>
  </si>
  <si>
    <t>time</t>
  </si>
  <si>
    <t>Restværdi ved levetids udløb</t>
  </si>
  <si>
    <t>ton</t>
  </si>
  <si>
    <t>Rente</t>
  </si>
  <si>
    <t xml:space="preserve">% p.a. </t>
  </si>
  <si>
    <t xml:space="preserve">Evt. traktorleje </t>
  </si>
  <si>
    <t>km</t>
  </si>
  <si>
    <t xml:space="preserve">Vedligehold </t>
  </si>
  <si>
    <t xml:space="preserve">kr. pr.  </t>
  </si>
  <si>
    <t>fe</t>
  </si>
  <si>
    <t>Andre faste omkostninger</t>
  </si>
  <si>
    <t>kr. pr. år</t>
  </si>
  <si>
    <t>Omkostninger pr. år</t>
  </si>
  <si>
    <t xml:space="preserve">Værditab og forrentning gns. </t>
  </si>
  <si>
    <t>Faste omk. i alt</t>
  </si>
  <si>
    <t xml:space="preserve">Evt. traktorleje og brændstof </t>
  </si>
  <si>
    <t>Vedligehold</t>
  </si>
  <si>
    <t>Arbejdsløn</t>
  </si>
  <si>
    <t>Variable omk. i alt</t>
  </si>
  <si>
    <t>I alt</t>
  </si>
  <si>
    <t>Omkostninger pr. time</t>
  </si>
  <si>
    <t xml:space="preserve">I alt </t>
  </si>
  <si>
    <t>Omkostninger pr. enhed</t>
  </si>
  <si>
    <t>kr. pr.</t>
  </si>
  <si>
    <t>kr. i alt</t>
  </si>
  <si>
    <t>Energiforbrug</t>
  </si>
  <si>
    <t>Gennemsnitlig energipris</t>
  </si>
  <si>
    <t>kr. pr. kWh</t>
  </si>
  <si>
    <t>kWh pr. time</t>
  </si>
  <si>
    <t>Gennemsnitlig lønomkostning - tilsyn 6 min pr. time</t>
  </si>
  <si>
    <t>Tabellen nedenfor viser den beregnede meromkostning i kr. pr. hkg ved fordeling af de samlede beregnede meromkostninger til konsumproduktion ved forskellige udbytteniveauer og antal ha med afgrøden.</t>
  </si>
  <si>
    <t>HA</t>
  </si>
  <si>
    <t>Areal, ha</t>
  </si>
  <si>
    <t>Udbytte, hkg pr. ha</t>
  </si>
  <si>
    <t>Meromkostning, kr. pr. hkg</t>
  </si>
  <si>
    <t>Omkostninger til beregning af følsomhed; faste + arealafhængige + udbytteafhængige</t>
  </si>
  <si>
    <t>Værktøjet kan hjælpe til at sikre inddragelse af relevante omkostninger ved overvejelser om dyrkning af afgrøder til konsum.
Værktøjet kan anvendes til at estimere omkostningen til anvendelse af udstyr til f.eks. ekstra rensning af afgrøde. 
Værktøjet er skrivebskyttet pånær de med gråt markede felter, der kræver tilretning / dataindtastning.</t>
  </si>
  <si>
    <t>Datagrundlag er ajourført med estimerede priser 2025. Giv agt på prisudvikling i forhold til normtal mv.</t>
  </si>
  <si>
    <t>Frarens med prisreduktion, f.eks. halve eller skadede kerner</t>
  </si>
  <si>
    <t>Eventuelt højere udsædspris ved konsum ift. foder</t>
  </si>
  <si>
    <t>HER</t>
  </si>
  <si>
    <t xml:space="preserve">DETTE VÆRKTØJ kan hentes og bruges til andre investeringsberegninger via link </t>
  </si>
  <si>
    <t xml:space="preserve">Læs intorduktionen og gå til fanen "Beregn omkostninger" - udfyld de nødvendige forudsætninger om priser, meromkostninger og -arbejde ved dyrkning af afgrøder til konsum i felter markeret grå . 
Ved samdyrkning kan indregnes meromkostninger til sortering.
I fanen "Følsomhedudbytte og areal" estimeres effekten af dyrket areal og udbytteniveau på meromkostningen pr. hkg afgrøde. 
Ved investering i udstyr kan anvendelse af værktøjet i fanen "investeringsberegning" give et bud på omkostning til denne.
</t>
  </si>
  <si>
    <r>
      <t>m</t>
    </r>
    <r>
      <rPr>
        <vertAlign val="superscript"/>
        <sz val="11"/>
        <color theme="0"/>
        <rFont val="Arial"/>
        <family val="2"/>
      </rPr>
      <t>3</t>
    </r>
  </si>
  <si>
    <t>Nåletriør - eksempel på beregning</t>
  </si>
  <si>
    <t>Værktøjet er baseret på estimerede værdier, og derfor vil resultaterne for afgrøderne ikke nødvendigvis matche den enkelte bedriftens egne tal. Det anbefales derfor at man overvejer egen forventet dyrkningspraksis og de omkostninger der er knyttet til denne.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</si>
</sst>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 #,##0_ ;_ * \-#,##0_ ;_ * &quot;-&quot;??_ ;_ @_ "/>
    <numFmt numFmtId="166" formatCode="#,##0_ ;[Red]\-#,##0\ "/>
    <numFmt numFmtId="167" formatCode="#,##0.0_ ;[Red]\-#,##0.0\ "/>
    <numFmt numFmtId="168" formatCode="#,##0.00_ ;[Red]\-#,##0.00\ "/>
    <numFmt numFmtId="169" formatCode="#,##0.0"/>
    <numFmt numFmtId="170" formatCode="&quot;kr.&quot;\ #,##0;[Red]&quot;kr.&quot;\ \-#,##0"/>
    <numFmt numFmtId="171" formatCode="#,##0.00_ ;\-#,##0.00\ "/>
    <numFmt numFmtId="172" formatCode="#,##0_ ;\-#,##0\ "/>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u/>
      <sz val="11"/>
      <color theme="10"/>
      <name val="Arial"/>
      <family val="2"/>
    </font>
    <font>
      <b/>
      <sz val="11"/>
      <color theme="1"/>
      <name val="Arial"/>
      <family val="2"/>
    </font>
    <font>
      <sz val="11"/>
      <color theme="1"/>
      <name val="Arial"/>
      <family val="2"/>
    </font>
    <font>
      <sz val="11"/>
      <color theme="0"/>
      <name val="Arial"/>
      <family val="2"/>
    </font>
    <font>
      <i/>
      <sz val="11"/>
      <color theme="1"/>
      <name val="Arial"/>
      <family val="2"/>
    </font>
    <font>
      <sz val="11"/>
      <color rgb="FFFF0000"/>
      <name val="Arial"/>
      <family val="2"/>
    </font>
    <font>
      <b/>
      <i/>
      <sz val="11"/>
      <color theme="1"/>
      <name val="Arial"/>
      <family val="2"/>
    </font>
    <font>
      <sz val="11"/>
      <name val="Arial"/>
      <family val="2"/>
    </font>
    <font>
      <b/>
      <sz val="11"/>
      <name val="Arial"/>
      <family val="2"/>
    </font>
    <font>
      <b/>
      <sz val="14"/>
      <color theme="1"/>
      <name val="Arial"/>
      <family val="2"/>
    </font>
    <font>
      <i/>
      <sz val="11"/>
      <name val="Arial"/>
      <family val="2"/>
    </font>
    <font>
      <sz val="10"/>
      <color theme="1"/>
      <name val="Arial"/>
      <family val="2"/>
    </font>
    <font>
      <sz val="10"/>
      <name val="Arial"/>
      <family val="2"/>
    </font>
    <font>
      <u/>
      <sz val="10"/>
      <color theme="10"/>
      <name val="Arial"/>
      <family val="2"/>
    </font>
    <font>
      <i/>
      <sz val="11"/>
      <color theme="1"/>
      <name val="Calibri"/>
      <family val="2"/>
      <scheme val="minor"/>
    </font>
    <font>
      <i/>
      <sz val="10"/>
      <color theme="1"/>
      <name val="Arial"/>
      <family val="2"/>
    </font>
    <font>
      <u/>
      <sz val="9"/>
      <color theme="10"/>
      <name val="Arial"/>
      <family val="2"/>
    </font>
    <font>
      <vertAlign val="superscript"/>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207">
    <xf numFmtId="0" fontId="0" fillId="0" borderId="0" xfId="0"/>
    <xf numFmtId="0" fontId="6" fillId="0" borderId="0" xfId="0" applyFont="1"/>
    <xf numFmtId="0" fontId="5" fillId="0" borderId="4" xfId="0" applyFont="1" applyBorder="1"/>
    <xf numFmtId="165" fontId="6" fillId="0" borderId="0" xfId="1" applyNumberFormat="1" applyFont="1" applyBorder="1"/>
    <xf numFmtId="165" fontId="7" fillId="0" borderId="0" xfId="1" applyNumberFormat="1" applyFont="1" applyBorder="1"/>
    <xf numFmtId="165" fontId="6" fillId="0" borderId="0" xfId="1" applyNumberFormat="1" applyFont="1" applyFill="1" applyBorder="1"/>
    <xf numFmtId="165" fontId="9" fillId="0" borderId="0" xfId="1" applyNumberFormat="1" applyFont="1" applyBorder="1"/>
    <xf numFmtId="165" fontId="9" fillId="0" borderId="0" xfId="1" applyNumberFormat="1" applyFont="1" applyBorder="1" applyAlignment="1">
      <alignment horizontal="center" vertical="top" wrapText="1"/>
    </xf>
    <xf numFmtId="166" fontId="6" fillId="0" borderId="0" xfId="1" applyNumberFormat="1" applyFont="1" applyBorder="1"/>
    <xf numFmtId="167" fontId="6" fillId="0" borderId="0" xfId="1" applyNumberFormat="1" applyFont="1" applyFill="1" applyBorder="1"/>
    <xf numFmtId="0" fontId="6" fillId="0" borderId="9" xfId="0" applyFont="1" applyBorder="1"/>
    <xf numFmtId="0" fontId="6" fillId="0" borderId="4" xfId="0" applyFont="1" applyBorder="1"/>
    <xf numFmtId="0" fontId="8" fillId="0" borderId="0" xfId="0" applyFont="1"/>
    <xf numFmtId="0" fontId="6" fillId="0" borderId="0" xfId="0" applyFont="1" applyAlignment="1">
      <alignment horizontal="center"/>
    </xf>
    <xf numFmtId="165" fontId="9" fillId="0" borderId="0" xfId="1" applyNumberFormat="1" applyFont="1" applyBorder="1" applyAlignment="1">
      <alignment vertical="top" wrapText="1"/>
    </xf>
    <xf numFmtId="165" fontId="6" fillId="2" borderId="0" xfId="1" applyNumberFormat="1" applyFont="1" applyFill="1" applyBorder="1" applyProtection="1">
      <protection locked="0"/>
    </xf>
    <xf numFmtId="167" fontId="6" fillId="2" borderId="0" xfId="1" applyNumberFormat="1" applyFont="1" applyFill="1" applyBorder="1" applyProtection="1">
      <protection locked="0"/>
    </xf>
    <xf numFmtId="0" fontId="6" fillId="2" borderId="0" xfId="0" applyFont="1" applyFill="1" applyProtection="1">
      <protection locked="0"/>
    </xf>
    <xf numFmtId="0" fontId="5" fillId="0" borderId="4" xfId="0" applyFont="1" applyBorder="1" applyAlignment="1">
      <alignment horizontal="right"/>
    </xf>
    <xf numFmtId="0" fontId="11" fillId="0" borderId="1" xfId="0" applyFont="1" applyBorder="1" applyAlignment="1">
      <alignment horizontal="left" vertical="top" wrapText="1"/>
    </xf>
    <xf numFmtId="166" fontId="6" fillId="2" borderId="0" xfId="1" applyNumberFormat="1" applyFont="1" applyFill="1" applyBorder="1" applyProtection="1">
      <protection locked="0"/>
    </xf>
    <xf numFmtId="166" fontId="6" fillId="0" borderId="0" xfId="1" applyNumberFormat="1" applyFont="1" applyFill="1" applyBorder="1" applyProtection="1"/>
    <xf numFmtId="0" fontId="13" fillId="0" borderId="0" xfId="0" applyFont="1" applyAlignment="1">
      <alignment horizontal="center"/>
    </xf>
    <xf numFmtId="0" fontId="12" fillId="0" borderId="4" xfId="0" applyFont="1" applyBorder="1" applyProtection="1">
      <protection locked="0"/>
    </xf>
    <xf numFmtId="0" fontId="11" fillId="0" borderId="4" xfId="0" applyFont="1" applyBorder="1" applyProtection="1">
      <protection locked="0"/>
    </xf>
    <xf numFmtId="0" fontId="0" fillId="0" borderId="4" xfId="0" applyBorder="1" applyProtection="1">
      <protection locked="0"/>
    </xf>
    <xf numFmtId="0" fontId="0" fillId="0" borderId="5" xfId="0" applyBorder="1" applyProtection="1">
      <protection locked="0"/>
    </xf>
    <xf numFmtId="0" fontId="11" fillId="0" borderId="0" xfId="0" applyFont="1" applyProtection="1">
      <protection locked="0"/>
    </xf>
    <xf numFmtId="0" fontId="0" fillId="0" borderId="0" xfId="0" applyProtection="1">
      <protection locked="0"/>
    </xf>
    <xf numFmtId="0" fontId="0" fillId="0" borderId="7" xfId="0" applyBorder="1" applyProtection="1">
      <protection locked="0"/>
    </xf>
    <xf numFmtId="0" fontId="4" fillId="0" borderId="0" xfId="2" applyFont="1" applyFill="1" applyAlignment="1">
      <alignment vertical="top"/>
    </xf>
    <xf numFmtId="0" fontId="6" fillId="0" borderId="0" xfId="0" applyFont="1" applyAlignment="1">
      <alignment horizontal="left"/>
    </xf>
    <xf numFmtId="165" fontId="6" fillId="0" borderId="0" xfId="1" applyNumberFormat="1" applyFont="1" applyFill="1" applyBorder="1" applyProtection="1">
      <protection locked="0"/>
    </xf>
    <xf numFmtId="167" fontId="6" fillId="0" borderId="0" xfId="1" applyNumberFormat="1" applyFont="1" applyFill="1" applyBorder="1" applyProtection="1">
      <protection locked="0"/>
    </xf>
    <xf numFmtId="168" fontId="6" fillId="2" borderId="0" xfId="0" applyNumberFormat="1" applyFont="1" applyFill="1" applyProtection="1">
      <protection locked="0"/>
    </xf>
    <xf numFmtId="0" fontId="5" fillId="0" borderId="0" xfId="0" applyFont="1"/>
    <xf numFmtId="166" fontId="5" fillId="0" borderId="0" xfId="0" applyNumberFormat="1" applyFont="1"/>
    <xf numFmtId="165" fontId="11" fillId="0" borderId="0" xfId="1" applyNumberFormat="1" applyFont="1" applyBorder="1" applyAlignment="1">
      <alignment vertical="top" wrapText="1"/>
    </xf>
    <xf numFmtId="0" fontId="0" fillId="0" borderId="10" xfId="0" applyBorder="1"/>
    <xf numFmtId="0" fontId="5" fillId="0" borderId="13" xfId="0" applyFont="1" applyBorder="1"/>
    <xf numFmtId="0" fontId="5" fillId="0" borderId="17" xfId="0" applyFont="1" applyBorder="1"/>
    <xf numFmtId="0" fontId="5" fillId="0" borderId="19" xfId="0" applyFont="1" applyBorder="1"/>
    <xf numFmtId="0" fontId="10" fillId="0" borderId="20" xfId="0" applyFont="1" applyBorder="1"/>
    <xf numFmtId="0" fontId="10" fillId="0" borderId="21" xfId="0" applyFont="1" applyBorder="1"/>
    <xf numFmtId="0" fontId="6" fillId="0" borderId="22" xfId="0" applyFont="1" applyBorder="1"/>
    <xf numFmtId="0" fontId="8" fillId="0" borderId="22" xfId="0" applyFont="1" applyBorder="1"/>
    <xf numFmtId="3" fontId="6" fillId="2" borderId="0" xfId="0" applyNumberFormat="1" applyFont="1" applyFill="1" applyProtection="1">
      <protection locked="0"/>
    </xf>
    <xf numFmtId="0" fontId="8" fillId="0" borderId="18" xfId="0" applyFont="1" applyBorder="1"/>
    <xf numFmtId="0" fontId="6" fillId="0" borderId="18" xfId="0" applyFont="1" applyBorder="1"/>
    <xf numFmtId="1" fontId="6" fillId="0" borderId="0" xfId="0" applyNumberFormat="1" applyFont="1"/>
    <xf numFmtId="4" fontId="8" fillId="0" borderId="22" xfId="0" applyNumberFormat="1" applyFont="1" applyBorder="1"/>
    <xf numFmtId="2" fontId="6" fillId="2" borderId="0" xfId="0" applyNumberFormat="1" applyFont="1" applyFill="1" applyProtection="1">
      <protection locked="0"/>
    </xf>
    <xf numFmtId="3" fontId="6" fillId="0" borderId="0" xfId="0" applyNumberFormat="1" applyFont="1"/>
    <xf numFmtId="4" fontId="8" fillId="0" borderId="23" xfId="0" applyNumberFormat="1" applyFont="1" applyBorder="1"/>
    <xf numFmtId="3" fontId="6" fillId="2" borderId="24" xfId="0" applyNumberFormat="1" applyFont="1" applyFill="1" applyBorder="1" applyProtection="1">
      <protection locked="0"/>
    </xf>
    <xf numFmtId="0" fontId="6" fillId="0" borderId="24" xfId="0" applyFont="1" applyBorder="1"/>
    <xf numFmtId="0" fontId="6" fillId="0" borderId="25" xfId="0" applyFont="1" applyBorder="1"/>
    <xf numFmtId="4" fontId="8" fillId="0" borderId="13" xfId="0" applyNumberFormat="1" applyFont="1" applyBorder="1"/>
    <xf numFmtId="3" fontId="6" fillId="0" borderId="15" xfId="0" applyNumberFormat="1" applyFont="1" applyBorder="1"/>
    <xf numFmtId="0" fontId="6" fillId="0" borderId="15" xfId="0" applyFont="1" applyBorder="1"/>
    <xf numFmtId="0" fontId="6" fillId="0" borderId="16" xfId="0" applyFont="1" applyBorder="1"/>
    <xf numFmtId="3" fontId="6" fillId="0" borderId="26" xfId="0" applyNumberFormat="1" applyFont="1" applyBorder="1" applyAlignment="1">
      <alignment horizontal="right"/>
    </xf>
    <xf numFmtId="3" fontId="6" fillId="0" borderId="20" xfId="0" applyNumberFormat="1" applyFont="1" applyBorder="1" applyAlignment="1">
      <alignment horizontal="center"/>
    </xf>
    <xf numFmtId="3" fontId="6" fillId="0" borderId="21" xfId="0" applyNumberFormat="1" applyFont="1" applyBorder="1" applyAlignment="1">
      <alignment horizontal="center"/>
    </xf>
    <xf numFmtId="0" fontId="6" fillId="0" borderId="17" xfId="0" applyFont="1" applyBorder="1"/>
    <xf numFmtId="3" fontId="6" fillId="0" borderId="6" xfId="0" applyNumberFormat="1" applyFont="1" applyBorder="1"/>
    <xf numFmtId="3" fontId="6" fillId="0" borderId="18" xfId="0" applyNumberFormat="1" applyFont="1" applyBorder="1"/>
    <xf numFmtId="4" fontId="6" fillId="0" borderId="17" xfId="0" applyNumberFormat="1" applyFont="1" applyBorder="1"/>
    <xf numFmtId="4" fontId="8" fillId="0" borderId="17" xfId="0" applyNumberFormat="1" applyFont="1" applyBorder="1"/>
    <xf numFmtId="3" fontId="8" fillId="0" borderId="6" xfId="0" applyNumberFormat="1" applyFont="1" applyBorder="1"/>
    <xf numFmtId="0" fontId="8" fillId="0" borderId="17" xfId="0" applyFont="1" applyBorder="1"/>
    <xf numFmtId="3" fontId="8" fillId="0" borderId="8" xfId="0" applyNumberFormat="1" applyFont="1" applyBorder="1"/>
    <xf numFmtId="3" fontId="6" fillId="0" borderId="9" xfId="0" applyNumberFormat="1" applyFont="1" applyBorder="1"/>
    <xf numFmtId="3" fontId="6" fillId="0" borderId="27" xfId="0" applyNumberFormat="1" applyFont="1" applyBorder="1"/>
    <xf numFmtId="4" fontId="5" fillId="0" borderId="28" xfId="0" applyNumberFormat="1" applyFont="1" applyBorder="1"/>
    <xf numFmtId="3" fontId="5" fillId="0" borderId="29" xfId="0" applyNumberFormat="1" applyFont="1" applyBorder="1"/>
    <xf numFmtId="3" fontId="5" fillId="0" borderId="30" xfId="0" applyNumberFormat="1" applyFont="1" applyBorder="1"/>
    <xf numFmtId="3" fontId="5" fillId="0" borderId="31" xfId="0" applyNumberFormat="1" applyFont="1" applyBorder="1"/>
    <xf numFmtId="4" fontId="5" fillId="0" borderId="13" xfId="0" applyNumberFormat="1" applyFont="1" applyBorder="1"/>
    <xf numFmtId="3" fontId="5" fillId="0" borderId="0" xfId="0" applyNumberFormat="1" applyFont="1"/>
    <xf numFmtId="1" fontId="5" fillId="0" borderId="0" xfId="0" applyNumberFormat="1" applyFont="1"/>
    <xf numFmtId="170" fontId="5" fillId="0" borderId="18" xfId="0" applyNumberFormat="1" applyFont="1" applyBorder="1"/>
    <xf numFmtId="166" fontId="6" fillId="0" borderId="26" xfId="0" applyNumberFormat="1" applyFont="1" applyBorder="1" applyAlignment="1">
      <alignment horizontal="right"/>
    </xf>
    <xf numFmtId="166" fontId="6" fillId="0" borderId="20" xfId="0" applyNumberFormat="1" applyFont="1" applyBorder="1" applyAlignment="1">
      <alignment horizontal="center"/>
    </xf>
    <xf numFmtId="166" fontId="6" fillId="0" borderId="21" xfId="0" applyNumberFormat="1" applyFont="1" applyBorder="1" applyAlignment="1">
      <alignment horizontal="center"/>
    </xf>
    <xf numFmtId="0" fontId="6" fillId="0" borderId="32" xfId="0" applyFont="1" applyBorder="1"/>
    <xf numFmtId="4" fontId="6" fillId="0" borderId="6" xfId="0" applyNumberFormat="1" applyFont="1" applyBorder="1"/>
    <xf numFmtId="4" fontId="6" fillId="0" borderId="15" xfId="0" applyNumberFormat="1" applyFont="1" applyBorder="1"/>
    <xf numFmtId="4" fontId="6" fillId="0" borderId="18" xfId="0" applyNumberFormat="1" applyFont="1" applyBorder="1"/>
    <xf numFmtId="4" fontId="6" fillId="0" borderId="22" xfId="0" applyNumberFormat="1" applyFont="1" applyBorder="1"/>
    <xf numFmtId="4" fontId="6" fillId="0" borderId="0" xfId="0" applyNumberFormat="1" applyFont="1"/>
    <xf numFmtId="4" fontId="8" fillId="0" borderId="6" xfId="0" applyNumberFormat="1" applyFont="1" applyBorder="1"/>
    <xf numFmtId="4" fontId="8" fillId="0" borderId="18" xfId="0" applyNumberFormat="1" applyFont="1" applyBorder="1"/>
    <xf numFmtId="4" fontId="8" fillId="0" borderId="24" xfId="0" applyNumberFormat="1" applyFont="1" applyBorder="1"/>
    <xf numFmtId="4" fontId="8" fillId="0" borderId="25" xfId="0" applyNumberFormat="1" applyFont="1" applyBorder="1"/>
    <xf numFmtId="4" fontId="5" fillId="0" borderId="26" xfId="0" applyNumberFormat="1" applyFont="1" applyBorder="1"/>
    <xf numFmtId="4" fontId="6" fillId="0" borderId="20" xfId="0" applyNumberFormat="1" applyFont="1" applyBorder="1"/>
    <xf numFmtId="4" fontId="5" fillId="0" borderId="21" xfId="0" applyNumberFormat="1" applyFont="1" applyBorder="1"/>
    <xf numFmtId="0" fontId="6" fillId="0" borderId="26" xfId="0" applyFont="1" applyBorder="1" applyAlignment="1">
      <alignment horizontal="right"/>
    </xf>
    <xf numFmtId="0" fontId="6" fillId="0" borderId="20" xfId="0" applyFont="1" applyBorder="1"/>
    <xf numFmtId="0" fontId="6" fillId="0" borderId="21" xfId="0" applyFont="1" applyBorder="1"/>
    <xf numFmtId="4" fontId="8" fillId="0" borderId="0" xfId="0" applyNumberFormat="1" applyFont="1"/>
    <xf numFmtId="4" fontId="5" fillId="0" borderId="20" xfId="0" applyNumberFormat="1" applyFont="1" applyBorder="1"/>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6" fillId="0" borderId="11" xfId="0" applyFont="1" applyBorder="1"/>
    <xf numFmtId="0" fontId="6" fillId="0" borderId="1" xfId="0" applyFont="1" applyBorder="1"/>
    <xf numFmtId="0" fontId="6" fillId="0" borderId="3" xfId="0" applyFont="1" applyBorder="1"/>
    <xf numFmtId="3" fontId="11" fillId="0" borderId="0" xfId="0" applyNumberFormat="1" applyFont="1" applyAlignment="1" applyProtection="1">
      <alignment vertical="top"/>
      <protection locked="0"/>
    </xf>
    <xf numFmtId="166" fontId="6" fillId="0" borderId="33" xfId="1" applyNumberFormat="1" applyFont="1" applyBorder="1"/>
    <xf numFmtId="165" fontId="9" fillId="0" borderId="33" xfId="1" applyNumberFormat="1" applyFont="1" applyBorder="1"/>
    <xf numFmtId="168" fontId="6" fillId="0" borderId="33" xfId="0" applyNumberFormat="1" applyFont="1" applyBorder="1"/>
    <xf numFmtId="0" fontId="0" fillId="0" borderId="9" xfId="0" applyBorder="1"/>
    <xf numFmtId="168" fontId="6" fillId="0" borderId="0" xfId="0" applyNumberFormat="1" applyFont="1"/>
    <xf numFmtId="168" fontId="6" fillId="0" borderId="9" xfId="0" applyNumberFormat="1" applyFont="1" applyBorder="1"/>
    <xf numFmtId="0" fontId="0" fillId="0" borderId="7" xfId="0" applyBorder="1"/>
    <xf numFmtId="0" fontId="0" fillId="0" borderId="5" xfId="0" applyBorder="1"/>
    <xf numFmtId="0" fontId="0" fillId="0" borderId="6" xfId="0" applyBorder="1"/>
    <xf numFmtId="0" fontId="0" fillId="0" borderId="12" xfId="0" applyBorder="1"/>
    <xf numFmtId="0" fontId="0" fillId="0" borderId="8" xfId="0" applyBorder="1"/>
    <xf numFmtId="168" fontId="5" fillId="0" borderId="0" xfId="0" applyNumberFormat="1" applyFont="1"/>
    <xf numFmtId="166" fontId="0" fillId="0" borderId="0" xfId="0" applyNumberFormat="1"/>
    <xf numFmtId="171" fontId="0" fillId="0" borderId="0" xfId="0" applyNumberFormat="1"/>
    <xf numFmtId="0" fontId="0" fillId="0" borderId="1" xfId="0" applyBorder="1"/>
    <xf numFmtId="0" fontId="0" fillId="0" borderId="2" xfId="0" applyBorder="1"/>
    <xf numFmtId="0" fontId="0" fillId="0" borderId="3" xfId="0" applyBorder="1"/>
    <xf numFmtId="0" fontId="6" fillId="0" borderId="2" xfId="0" applyFont="1" applyBorder="1"/>
    <xf numFmtId="0" fontId="6" fillId="0" borderId="0" xfId="0" applyFont="1" applyAlignment="1">
      <alignment vertical="top" wrapText="1"/>
    </xf>
    <xf numFmtId="172" fontId="6" fillId="0" borderId="11" xfId="0" applyNumberFormat="1" applyFont="1" applyBorder="1"/>
    <xf numFmtId="0" fontId="11" fillId="0" borderId="4" xfId="0" applyFont="1" applyBorder="1" applyAlignment="1" applyProtection="1">
      <alignment horizontal="right"/>
      <protection locked="0"/>
    </xf>
    <xf numFmtId="0" fontId="11" fillId="0" borderId="9" xfId="0" applyFont="1" applyBorder="1" applyAlignment="1" applyProtection="1">
      <alignment horizontal="left" vertical="top"/>
      <protection locked="0"/>
    </xf>
    <xf numFmtId="0" fontId="11" fillId="0" borderId="5" xfId="0" applyFont="1" applyBorder="1" applyAlignment="1" applyProtection="1">
      <alignment horizontal="right"/>
      <protection locked="0"/>
    </xf>
    <xf numFmtId="0" fontId="11" fillId="0" borderId="7" xfId="0" applyFont="1" applyBorder="1" applyProtection="1">
      <protection locked="0"/>
    </xf>
    <xf numFmtId="3" fontId="11" fillId="0" borderId="7" xfId="0" applyNumberFormat="1" applyFont="1" applyBorder="1" applyAlignment="1" applyProtection="1">
      <alignment vertical="top"/>
      <protection locked="0"/>
    </xf>
    <xf numFmtId="0" fontId="11" fillId="0" borderId="10" xfId="0" applyFont="1" applyBorder="1" applyAlignment="1" applyProtection="1">
      <alignment horizontal="left" vertical="top"/>
      <protection locked="0"/>
    </xf>
    <xf numFmtId="0" fontId="0" fillId="0" borderId="34" xfId="0" applyBorder="1"/>
    <xf numFmtId="0" fontId="8" fillId="0" borderId="41" xfId="0" applyFont="1" applyBorder="1"/>
    <xf numFmtId="0" fontId="18" fillId="0" borderId="41" xfId="0" applyFont="1" applyBorder="1"/>
    <xf numFmtId="166" fontId="18" fillId="0" borderId="41" xfId="0" applyNumberFormat="1" applyFont="1" applyBorder="1"/>
    <xf numFmtId="168" fontId="18" fillId="0" borderId="41" xfId="0" applyNumberFormat="1" applyFont="1" applyBorder="1"/>
    <xf numFmtId="0" fontId="0" fillId="0" borderId="42" xfId="0" applyBorder="1"/>
    <xf numFmtId="0" fontId="6" fillId="0" borderId="6" xfId="0" applyFont="1" applyBorder="1" applyAlignment="1">
      <alignment horizontal="left" vertical="top" wrapText="1"/>
    </xf>
    <xf numFmtId="0" fontId="6" fillId="0" borderId="0" xfId="0" applyFont="1" applyAlignment="1">
      <alignment horizontal="left" vertical="top" wrapText="1"/>
    </xf>
    <xf numFmtId="0" fontId="8" fillId="0" borderId="8" xfId="0" applyFont="1" applyBorder="1"/>
    <xf numFmtId="0" fontId="15" fillId="0" borderId="0" xfId="0" applyFont="1" applyAlignment="1">
      <alignment horizontal="left" vertical="top" wrapText="1"/>
    </xf>
    <xf numFmtId="0" fontId="15" fillId="0" borderId="7" xfId="0" applyFont="1" applyBorder="1" applyAlignment="1">
      <alignment horizontal="left" vertical="top" wrapText="1"/>
    </xf>
    <xf numFmtId="166" fontId="19" fillId="0" borderId="9" xfId="0" applyNumberFormat="1" applyFont="1" applyBorder="1"/>
    <xf numFmtId="168" fontId="19" fillId="0" borderId="10" xfId="0" applyNumberFormat="1" applyFont="1" applyBorder="1"/>
    <xf numFmtId="169" fontId="6" fillId="2" borderId="0" xfId="0" applyNumberFormat="1" applyFont="1" applyFill="1" applyProtection="1">
      <protection locked="0"/>
    </xf>
    <xf numFmtId="0" fontId="15" fillId="0" borderId="12" xfId="0" applyFont="1" applyBorder="1"/>
    <xf numFmtId="0" fontId="15" fillId="0" borderId="4" xfId="0" applyFont="1" applyBorder="1"/>
    <xf numFmtId="0" fontId="16" fillId="0" borderId="4" xfId="0" applyFont="1" applyBorder="1"/>
    <xf numFmtId="0" fontId="16" fillId="0" borderId="5" xfId="0" applyFont="1" applyBorder="1"/>
    <xf numFmtId="0" fontId="16" fillId="0" borderId="6" xfId="0" applyFont="1" applyBorder="1"/>
    <xf numFmtId="14" fontId="16" fillId="0" borderId="0" xfId="0" applyNumberFormat="1" applyFont="1"/>
    <xf numFmtId="0" fontId="16" fillId="0" borderId="0" xfId="0" applyFont="1"/>
    <xf numFmtId="0" fontId="16" fillId="0" borderId="7" xfId="0" applyFont="1" applyBorder="1"/>
    <xf numFmtId="3" fontId="16" fillId="0" borderId="6" xfId="0" applyNumberFormat="1" applyFont="1" applyBorder="1"/>
    <xf numFmtId="0" fontId="20" fillId="0" borderId="0" xfId="2" applyFont="1" applyFill="1" applyAlignment="1" applyProtection="1"/>
    <xf numFmtId="0" fontId="17" fillId="0" borderId="0" xfId="2" applyFont="1" applyFill="1" applyBorder="1" applyAlignment="1" applyProtection="1"/>
    <xf numFmtId="0" fontId="6" fillId="0" borderId="8" xfId="0" applyFont="1" applyBorder="1"/>
    <xf numFmtId="0" fontId="6" fillId="0" borderId="10" xfId="0" applyFont="1" applyBorder="1"/>
    <xf numFmtId="0" fontId="17" fillId="0" borderId="0" xfId="2" applyFont="1"/>
    <xf numFmtId="0" fontId="8" fillId="0" borderId="23" xfId="0" applyFont="1" applyBorder="1"/>
    <xf numFmtId="0" fontId="7" fillId="3" borderId="0" xfId="0" applyFont="1" applyFill="1"/>
    <xf numFmtId="0" fontId="7" fillId="3" borderId="0" xfId="0" applyFont="1" applyFill="1" applyProtection="1">
      <protection locked="0"/>
    </xf>
    <xf numFmtId="14" fontId="11" fillId="0" borderId="0" xfId="0" applyNumberFormat="1" applyFont="1" applyAlignment="1" applyProtection="1">
      <alignment horizontal="left"/>
      <protection locked="0"/>
    </xf>
    <xf numFmtId="0" fontId="13" fillId="0" borderId="0" xfId="0" applyFont="1" applyAlignment="1">
      <alignment horizontal="center"/>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3" fillId="0" borderId="0" xfId="0" applyFont="1" applyAlignment="1">
      <alignment horizont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6" fillId="0" borderId="0" xfId="0" applyFont="1" applyAlignment="1">
      <alignment horizontal="left"/>
    </xf>
    <xf numFmtId="165" fontId="9" fillId="0" borderId="0" xfId="1" applyNumberFormat="1" applyFont="1" applyBorder="1" applyAlignment="1">
      <alignment horizontal="left" vertical="top" wrapText="1"/>
    </xf>
    <xf numFmtId="165" fontId="6" fillId="2" borderId="4" xfId="1" applyNumberFormat="1" applyFont="1" applyFill="1" applyBorder="1" applyAlignment="1" applyProtection="1">
      <alignment horizontal="left"/>
      <protection locked="0"/>
    </xf>
    <xf numFmtId="0" fontId="13" fillId="0" borderId="2" xfId="0" applyFont="1" applyBorder="1" applyAlignment="1">
      <alignment horizontal="center"/>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1" xfId="0" applyFont="1" applyBorder="1" applyAlignment="1">
      <alignment horizontal="center" vertical="center"/>
    </xf>
    <xf numFmtId="49" fontId="10" fillId="2" borderId="14" xfId="0" applyNumberFormat="1" applyFont="1" applyFill="1" applyBorder="1" applyProtection="1">
      <protection locked="0"/>
    </xf>
    <xf numFmtId="49" fontId="10" fillId="2" borderId="15" xfId="0" applyNumberFormat="1" applyFont="1" applyFill="1" applyBorder="1" applyProtection="1">
      <protection locked="0"/>
    </xf>
    <xf numFmtId="49" fontId="10" fillId="2" borderId="16" xfId="0" applyNumberFormat="1" applyFont="1" applyFill="1" applyBorder="1" applyProtection="1">
      <protection locked="0"/>
    </xf>
    <xf numFmtId="49" fontId="10" fillId="2" borderId="6" xfId="0" applyNumberFormat="1" applyFont="1" applyFill="1" applyBorder="1" applyProtection="1">
      <protection locked="0"/>
    </xf>
    <xf numFmtId="49" fontId="10" fillId="2" borderId="0" xfId="0" applyNumberFormat="1" applyFont="1" applyFill="1" applyProtection="1">
      <protection locked="0"/>
    </xf>
    <xf numFmtId="49" fontId="10" fillId="2" borderId="18" xfId="0" applyNumberFormat="1" applyFont="1" applyFill="1" applyBorder="1" applyProtection="1">
      <protection locked="0"/>
    </xf>
    <xf numFmtId="0" fontId="6" fillId="2" borderId="0" xfId="0" applyFont="1" applyFill="1" applyProtection="1">
      <protection locked="0"/>
    </xf>
    <xf numFmtId="0" fontId="8" fillId="2" borderId="0" xfId="0" applyFont="1" applyFill="1" applyProtection="1">
      <protection locked="0"/>
    </xf>
    <xf numFmtId="0" fontId="8" fillId="2" borderId="18" xfId="0" applyFont="1" applyFill="1" applyBorder="1" applyProtection="1">
      <protection locked="0"/>
    </xf>
  </cellXfs>
  <cellStyles count="3">
    <cellStyle name="Komma" xfId="1" builtinId="3"/>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34177</xdr:colOff>
      <xdr:row>1</xdr:row>
      <xdr:rowOff>21852</xdr:rowOff>
    </xdr:from>
    <xdr:to>
      <xdr:col>2</xdr:col>
      <xdr:colOff>1905001</xdr:colOff>
      <xdr:row>4</xdr:row>
      <xdr:rowOff>9794</xdr:rowOff>
    </xdr:to>
    <xdr:pic>
      <xdr:nvPicPr>
        <xdr:cNvPr id="12" name="Billede 11">
          <a:extLst>
            <a:ext uri="{FF2B5EF4-FFF2-40B4-BE49-F238E27FC236}">
              <a16:creationId xmlns:a16="http://schemas.microsoft.com/office/drawing/2014/main" id="{56C53D27-371B-45FA-88F4-51DE855D1FE0}"/>
            </a:ext>
          </a:extLst>
        </xdr:cNvPr>
        <xdr:cNvPicPr>
          <a:picLocks noChangeAspect="1"/>
        </xdr:cNvPicPr>
      </xdr:nvPicPr>
      <xdr:blipFill>
        <a:blip xmlns:r="http://schemas.openxmlformats.org/officeDocument/2006/relationships" r:embed="rId1"/>
        <a:stretch>
          <a:fillRect/>
        </a:stretch>
      </xdr:blipFill>
      <xdr:spPr>
        <a:xfrm>
          <a:off x="415177" y="212352"/>
          <a:ext cx="1870824" cy="559442"/>
        </a:xfrm>
        <a:prstGeom prst="rect">
          <a:avLst/>
        </a:prstGeom>
        <a:effectLst/>
      </xdr:spPr>
    </xdr:pic>
    <xdr:clientData/>
  </xdr:twoCellAnchor>
  <xdr:twoCellAnchor>
    <xdr:from>
      <xdr:col>2</xdr:col>
      <xdr:colOff>2162176</xdr:colOff>
      <xdr:row>1</xdr:row>
      <xdr:rowOff>95250</xdr:rowOff>
    </xdr:from>
    <xdr:to>
      <xdr:col>2</xdr:col>
      <xdr:colOff>3476626</xdr:colOff>
      <xdr:row>3</xdr:row>
      <xdr:rowOff>152400</xdr:rowOff>
    </xdr:to>
    <xdr:sp macro="" textlink="">
      <xdr:nvSpPr>
        <xdr:cNvPr id="2" name="Text Placeholder 13">
          <a:extLst>
            <a:ext uri="{FF2B5EF4-FFF2-40B4-BE49-F238E27FC236}">
              <a16:creationId xmlns:a16="http://schemas.microsoft.com/office/drawing/2014/main" id="{AFB3A797-1887-41E7-AC92-84A15F5EC665}"/>
            </a:ext>
          </a:extLst>
        </xdr:cNvPr>
        <xdr:cNvSpPr>
          <a:spLocks noGrp="1" noChangeArrowheads="1"/>
        </xdr:cNvSpPr>
      </xdr:nvSpPr>
      <xdr:spPr bwMode="auto">
        <a:xfrm>
          <a:off x="2505076" y="285750"/>
          <a:ext cx="1314450" cy="438150"/>
        </a:xfrm>
        <a:prstGeom prst="rect">
          <a:avLst/>
        </a:prstGeom>
        <a:blipFill dpi="0" rotWithShape="1">
          <a:blip xmlns:r="http://schemas.openxmlformats.org/officeDocument/2006/relationships" r:embed="rId2"/>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409575</xdr:colOff>
      <xdr:row>12</xdr:row>
      <xdr:rowOff>66675</xdr:rowOff>
    </xdr:from>
    <xdr:to>
      <xdr:col>12</xdr:col>
      <xdr:colOff>190500</xdr:colOff>
      <xdr:row>16</xdr:row>
      <xdr:rowOff>38100</xdr:rowOff>
    </xdr:to>
    <xdr:sp macro="" textlink="">
      <xdr:nvSpPr>
        <xdr:cNvPr id="2" name="Text Placeholder 13">
          <a:extLst>
            <a:ext uri="{FF2B5EF4-FFF2-40B4-BE49-F238E27FC236}">
              <a16:creationId xmlns:a16="http://schemas.microsoft.com/office/drawing/2014/main" id="{86974C94-40FD-4D9E-A5D5-82BDE3F4A430}"/>
            </a:ext>
          </a:extLst>
        </xdr:cNvPr>
        <xdr:cNvSpPr>
          <a:spLocks noGrp="1" noChangeArrowheads="1"/>
        </xdr:cNvSpPr>
      </xdr:nvSpPr>
      <xdr:spPr bwMode="auto">
        <a:xfrm>
          <a:off x="9772650" y="2305050"/>
          <a:ext cx="1943100" cy="72390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landbrugsinfo.dk/public/6/b/5/okonomi_ledelse_investeringsberegning_grafisk_foelsomhedsanaly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61B2-1C38-4F71-805B-A2224B355FB0}">
  <sheetPr>
    <pageSetUpPr fitToPage="1"/>
  </sheetPr>
  <dimension ref="B2:L20"/>
  <sheetViews>
    <sheetView showGridLines="0" tabSelected="1" workbookViewId="0">
      <selection activeCell="E10" sqref="E10:L10"/>
    </sheetView>
  </sheetViews>
  <sheetFormatPr defaultColWidth="9.140625" defaultRowHeight="15" x14ac:dyDescent="0.25"/>
  <cols>
    <col min="1" max="1" width="3.42578125" customWidth="1"/>
    <col min="2" max="2" width="1.7109375" customWidth="1"/>
    <col min="3" max="3" width="58.85546875" customWidth="1"/>
    <col min="4" max="4" width="1.85546875" customWidth="1"/>
    <col min="5" max="5" width="14" customWidth="1"/>
    <col min="6" max="7" width="6.28515625" customWidth="1"/>
    <col min="8" max="8" width="7.7109375" customWidth="1"/>
    <col min="9" max="10" width="17.5703125" customWidth="1"/>
    <col min="11" max="11" width="16.140625" customWidth="1"/>
    <col min="12" max="12" width="9.85546875" customWidth="1"/>
    <col min="13" max="13" width="11.140625" bestFit="1" customWidth="1"/>
  </cols>
  <sheetData>
    <row r="2" spans="2:12" x14ac:dyDescent="0.25">
      <c r="B2" s="118"/>
      <c r="C2" s="131"/>
      <c r="D2" s="129"/>
      <c r="E2" s="23" t="s">
        <v>27</v>
      </c>
      <c r="F2" s="24"/>
      <c r="G2" s="24"/>
      <c r="H2" s="25"/>
      <c r="I2" s="25"/>
      <c r="J2" s="25"/>
      <c r="K2" s="25"/>
      <c r="L2" s="26"/>
    </row>
    <row r="3" spans="2:12" x14ac:dyDescent="0.25">
      <c r="B3" s="117"/>
      <c r="C3" s="132"/>
      <c r="D3" s="27"/>
      <c r="E3" s="27"/>
      <c r="F3" s="27"/>
      <c r="G3" s="27"/>
      <c r="H3" s="28"/>
      <c r="I3" s="28"/>
      <c r="J3" s="28"/>
      <c r="K3" s="28"/>
      <c r="L3" s="29"/>
    </row>
    <row r="4" spans="2:12" x14ac:dyDescent="0.25">
      <c r="B4" s="117"/>
      <c r="C4" s="132"/>
      <c r="D4" s="27"/>
      <c r="E4" s="28"/>
      <c r="F4" s="27"/>
      <c r="G4" s="27"/>
      <c r="H4" s="28"/>
      <c r="I4" s="28"/>
      <c r="J4" s="28"/>
      <c r="K4" s="28"/>
      <c r="L4" s="29"/>
    </row>
    <row r="5" spans="2:12" x14ac:dyDescent="0.25">
      <c r="B5" s="117"/>
      <c r="C5" s="132" t="s">
        <v>17</v>
      </c>
      <c r="D5" s="27"/>
      <c r="E5" s="166">
        <v>45891</v>
      </c>
      <c r="F5" s="27"/>
      <c r="G5" s="27"/>
      <c r="H5" s="28"/>
      <c r="I5" s="28"/>
      <c r="J5" s="28"/>
      <c r="K5" s="28"/>
      <c r="L5" s="29"/>
    </row>
    <row r="6" spans="2:12" x14ac:dyDescent="0.25">
      <c r="B6" s="117"/>
      <c r="C6" s="132" t="s">
        <v>18</v>
      </c>
      <c r="D6" s="27"/>
      <c r="E6" s="27" t="s">
        <v>50</v>
      </c>
      <c r="F6" s="27"/>
      <c r="G6" s="27"/>
      <c r="H6" s="28"/>
      <c r="I6" s="28"/>
      <c r="J6" s="28"/>
      <c r="K6" s="28"/>
      <c r="L6" s="29"/>
    </row>
    <row r="7" spans="2:12" x14ac:dyDescent="0.25">
      <c r="B7" s="117"/>
      <c r="C7" s="132" t="s">
        <v>19</v>
      </c>
      <c r="D7" s="27"/>
      <c r="E7" s="27" t="s">
        <v>51</v>
      </c>
      <c r="F7" s="27"/>
      <c r="G7" s="27"/>
      <c r="H7" s="28"/>
      <c r="I7" s="28"/>
      <c r="J7" s="28"/>
      <c r="K7" s="28"/>
      <c r="L7" s="29"/>
    </row>
    <row r="8" spans="2:12" x14ac:dyDescent="0.25">
      <c r="B8" s="117"/>
      <c r="C8" s="132" t="s">
        <v>20</v>
      </c>
      <c r="D8" s="27"/>
      <c r="E8" s="27" t="s">
        <v>119</v>
      </c>
      <c r="F8" s="27"/>
      <c r="G8" s="27"/>
      <c r="H8" s="28"/>
      <c r="I8" s="28"/>
      <c r="J8" s="28"/>
      <c r="K8" s="28"/>
      <c r="L8" s="29"/>
    </row>
    <row r="9" spans="2:12" ht="18.75" customHeight="1" x14ac:dyDescent="0.25">
      <c r="B9" s="117"/>
      <c r="C9" s="133" t="s">
        <v>21</v>
      </c>
      <c r="D9" s="108"/>
      <c r="E9" s="30" t="s">
        <v>22</v>
      </c>
      <c r="F9" s="27"/>
      <c r="G9" s="27"/>
      <c r="H9" s="28"/>
      <c r="I9" s="28"/>
      <c r="J9" s="28"/>
      <c r="K9" s="28"/>
      <c r="L9" s="29"/>
    </row>
    <row r="10" spans="2:12" ht="59.25" customHeight="1" x14ac:dyDescent="0.25">
      <c r="B10" s="119"/>
      <c r="C10" s="134" t="s">
        <v>23</v>
      </c>
      <c r="D10" s="130"/>
      <c r="E10" s="168" t="s">
        <v>47</v>
      </c>
      <c r="F10" s="168"/>
      <c r="G10" s="168"/>
      <c r="H10" s="168"/>
      <c r="I10" s="168"/>
      <c r="J10" s="168"/>
      <c r="K10" s="168"/>
      <c r="L10" s="169"/>
    </row>
    <row r="11" spans="2:12" x14ac:dyDescent="0.25">
      <c r="B11" s="117"/>
      <c r="C11" s="170"/>
      <c r="D11" s="170"/>
      <c r="E11" s="170"/>
      <c r="F11" s="170"/>
      <c r="G11" s="170"/>
      <c r="H11" s="170"/>
      <c r="I11" s="170"/>
      <c r="J11" s="170"/>
      <c r="K11" s="170"/>
    </row>
    <row r="12" spans="2:12" ht="55.5" customHeight="1" x14ac:dyDescent="0.25">
      <c r="B12" s="123"/>
      <c r="C12" s="104" t="s">
        <v>34</v>
      </c>
      <c r="D12" s="19"/>
      <c r="E12" s="171" t="s">
        <v>28</v>
      </c>
      <c r="F12" s="171"/>
      <c r="G12" s="171"/>
      <c r="H12" s="171"/>
      <c r="I12" s="171"/>
      <c r="J12" s="171"/>
      <c r="K12" s="171"/>
      <c r="L12" s="172"/>
    </row>
    <row r="13" spans="2:12" ht="95.25" customHeight="1" x14ac:dyDescent="0.25">
      <c r="B13" s="119"/>
      <c r="C13" s="103" t="s">
        <v>24</v>
      </c>
      <c r="D13" s="19"/>
      <c r="E13" s="171" t="s">
        <v>118</v>
      </c>
      <c r="F13" s="171"/>
      <c r="G13" s="171"/>
      <c r="H13" s="171"/>
      <c r="I13" s="171"/>
      <c r="J13" s="171"/>
      <c r="K13" s="171"/>
      <c r="L13" s="172"/>
    </row>
    <row r="14" spans="2:12" ht="77.25" customHeight="1" x14ac:dyDescent="0.25">
      <c r="B14" s="119"/>
      <c r="C14" s="103" t="s">
        <v>25</v>
      </c>
      <c r="D14" s="19"/>
      <c r="E14" s="171" t="s">
        <v>127</v>
      </c>
      <c r="F14" s="171"/>
      <c r="G14" s="171"/>
      <c r="H14" s="171"/>
      <c r="I14" s="171"/>
      <c r="J14" s="171"/>
      <c r="K14" s="171"/>
      <c r="L14" s="172"/>
    </row>
    <row r="15" spans="2:12" ht="45.75" customHeight="1" x14ac:dyDescent="0.25">
      <c r="B15" s="119"/>
      <c r="C15" s="103" t="s">
        <v>61</v>
      </c>
      <c r="D15" s="19"/>
      <c r="E15" s="173" t="s">
        <v>54</v>
      </c>
      <c r="F15" s="171"/>
      <c r="G15" s="171"/>
      <c r="H15" s="171"/>
      <c r="I15" s="171"/>
      <c r="J15" s="171"/>
      <c r="K15" s="171"/>
      <c r="L15" s="172"/>
    </row>
    <row r="16" spans="2:12" ht="45.75" customHeight="1" x14ac:dyDescent="0.25">
      <c r="B16" s="119"/>
      <c r="C16" s="103" t="s">
        <v>62</v>
      </c>
      <c r="D16" s="19"/>
      <c r="E16" s="173" t="s">
        <v>53</v>
      </c>
      <c r="F16" s="173"/>
      <c r="G16" s="173"/>
      <c r="H16" s="173"/>
      <c r="I16" s="173"/>
      <c r="J16" s="173"/>
      <c r="K16" s="173"/>
      <c r="L16" s="174"/>
    </row>
    <row r="17" spans="2:12" ht="156.75" customHeight="1" x14ac:dyDescent="0.25">
      <c r="B17" s="119"/>
      <c r="C17" s="103" t="s">
        <v>26</v>
      </c>
      <c r="D17" s="19"/>
      <c r="E17" s="171" t="s">
        <v>124</v>
      </c>
      <c r="F17" s="171"/>
      <c r="G17" s="171"/>
      <c r="H17" s="171"/>
      <c r="I17" s="171"/>
      <c r="J17" s="171"/>
      <c r="K17" s="171"/>
      <c r="L17" s="172"/>
    </row>
    <row r="20" spans="2:12" ht="18" x14ac:dyDescent="0.25">
      <c r="C20" s="167"/>
      <c r="D20" s="167"/>
      <c r="E20" s="167"/>
      <c r="F20" s="167"/>
      <c r="G20" s="167"/>
      <c r="H20" s="167"/>
      <c r="I20" s="167"/>
      <c r="J20" s="167"/>
      <c r="K20" s="167"/>
      <c r="L20" s="167"/>
    </row>
  </sheetData>
  <sheetProtection algorithmName="SHA-512" hashValue="McjasXBMq5abxfo7EueRjR/Z4vUi6t62BuymTU1Uwh19VQho6KThUSFSG5XZYBK/hVi71jxjam3MhmT4S4GiNQ==" saltValue="tFBlzcYHQ1xV7lXO+kA8cg==" spinCount="100000" sheet="1" objects="1" scenarios="1"/>
  <mergeCells count="9">
    <mergeCell ref="C20:L20"/>
    <mergeCell ref="E10:L10"/>
    <mergeCell ref="C11:K11"/>
    <mergeCell ref="E12:L12"/>
    <mergeCell ref="E13:L13"/>
    <mergeCell ref="E14:L14"/>
    <mergeCell ref="E15:L15"/>
    <mergeCell ref="E16:L16"/>
    <mergeCell ref="E17:L17"/>
  </mergeCell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D63D-C17D-4699-8C42-1979356A8976}">
  <sheetPr>
    <pageSetUpPr fitToPage="1"/>
  </sheetPr>
  <dimension ref="B2:BE71"/>
  <sheetViews>
    <sheetView showGridLines="0" zoomScale="85" zoomScaleNormal="85" workbookViewId="0">
      <selection activeCell="D4" sqref="D4:F4"/>
    </sheetView>
  </sheetViews>
  <sheetFormatPr defaultColWidth="9.140625" defaultRowHeight="15" x14ac:dyDescent="0.25"/>
  <cols>
    <col min="1" max="1" width="3.42578125" customWidth="1"/>
    <col min="2" max="2" width="2.140625" customWidth="1"/>
    <col min="3" max="3" width="58.85546875" customWidth="1"/>
    <col min="4" max="4" width="14" customWidth="1"/>
    <col min="5" max="6" width="6.28515625" customWidth="1"/>
    <col min="7" max="7" width="7.7109375" customWidth="1"/>
    <col min="8" max="9" width="17.5703125" customWidth="1"/>
    <col min="10" max="10" width="16.140625" customWidth="1"/>
    <col min="11" max="11" width="11.140625" bestFit="1" customWidth="1"/>
    <col min="12" max="12" width="2.140625" customWidth="1"/>
    <col min="48" max="48" width="11" customWidth="1"/>
    <col min="49" max="49" width="12.85546875" customWidth="1"/>
    <col min="50" max="50" width="15" customWidth="1"/>
    <col min="51" max="57" width="11.42578125" bestFit="1" customWidth="1"/>
  </cols>
  <sheetData>
    <row r="2" spans="2:12" ht="18" x14ac:dyDescent="0.25">
      <c r="B2" s="123"/>
      <c r="C2" s="178" t="s">
        <v>43</v>
      </c>
      <c r="D2" s="178"/>
      <c r="E2" s="178"/>
      <c r="F2" s="178"/>
      <c r="G2" s="178"/>
      <c r="H2" s="178"/>
      <c r="I2" s="178"/>
      <c r="J2" s="178"/>
      <c r="K2" s="124"/>
      <c r="L2" s="125"/>
    </row>
    <row r="3" spans="2:12" ht="18" x14ac:dyDescent="0.25">
      <c r="C3" s="22"/>
      <c r="D3" s="22"/>
      <c r="E3" s="22"/>
      <c r="F3" s="22"/>
      <c r="G3" s="22"/>
      <c r="H3" s="22"/>
      <c r="I3" s="22"/>
      <c r="J3" s="22"/>
    </row>
    <row r="4" spans="2:12" x14ac:dyDescent="0.25">
      <c r="B4" s="118"/>
      <c r="C4" s="2" t="s">
        <v>0</v>
      </c>
      <c r="D4" s="177" t="s">
        <v>58</v>
      </c>
      <c r="E4" s="177"/>
      <c r="F4" s="177"/>
      <c r="G4" s="2"/>
      <c r="H4" s="2"/>
      <c r="I4" s="18" t="s">
        <v>106</v>
      </c>
      <c r="J4" s="18" t="s">
        <v>4</v>
      </c>
      <c r="K4" s="18" t="s">
        <v>35</v>
      </c>
      <c r="L4" s="116"/>
    </row>
    <row r="5" spans="2:12" x14ac:dyDescent="0.25">
      <c r="B5" s="119"/>
      <c r="C5" s="1"/>
      <c r="D5" s="1"/>
      <c r="E5" s="1"/>
      <c r="F5" s="1"/>
      <c r="G5" s="1"/>
      <c r="H5" s="1"/>
      <c r="I5" s="1"/>
      <c r="J5" s="1"/>
      <c r="K5" s="112"/>
      <c r="L5" s="38"/>
    </row>
    <row r="6" spans="2:12" x14ac:dyDescent="0.25">
      <c r="B6" s="117"/>
      <c r="C6" s="2" t="s">
        <v>56</v>
      </c>
      <c r="D6" s="11"/>
      <c r="E6" s="11"/>
      <c r="F6" s="11"/>
      <c r="G6" s="11"/>
      <c r="H6" s="11"/>
      <c r="I6" s="11"/>
      <c r="J6" s="11"/>
      <c r="K6" s="113"/>
      <c r="L6" s="115"/>
    </row>
    <row r="7" spans="2:12" x14ac:dyDescent="0.25">
      <c r="B7" s="117"/>
      <c r="C7" s="1" t="s">
        <v>15</v>
      </c>
      <c r="D7" s="1"/>
      <c r="E7" s="1"/>
      <c r="F7" s="1"/>
      <c r="G7" s="15">
        <v>10</v>
      </c>
      <c r="H7" s="3" t="s">
        <v>6</v>
      </c>
      <c r="I7" s="3"/>
      <c r="J7" s="3"/>
      <c r="K7" s="113"/>
      <c r="L7" s="115"/>
    </row>
    <row r="8" spans="2:12" x14ac:dyDescent="0.25">
      <c r="B8" s="117"/>
      <c r="C8" s="1"/>
      <c r="D8" s="1"/>
      <c r="E8" s="1"/>
      <c r="F8" s="1"/>
      <c r="G8" s="3"/>
      <c r="H8" s="3"/>
      <c r="I8" s="3"/>
      <c r="J8" s="3"/>
      <c r="K8" s="113"/>
      <c r="L8" s="115"/>
    </row>
    <row r="9" spans="2:12" x14ac:dyDescent="0.25">
      <c r="B9" s="117"/>
      <c r="C9" s="1" t="s">
        <v>57</v>
      </c>
      <c r="D9" s="1"/>
      <c r="E9" s="1"/>
      <c r="F9" s="1"/>
      <c r="G9" s="15">
        <v>40</v>
      </c>
      <c r="H9" s="3" t="s">
        <v>29</v>
      </c>
      <c r="I9" s="3"/>
      <c r="J9" s="3"/>
      <c r="K9" s="113"/>
      <c r="L9" s="115"/>
    </row>
    <row r="10" spans="2:12" x14ac:dyDescent="0.25">
      <c r="B10" s="117"/>
      <c r="C10" s="1"/>
      <c r="D10" s="1"/>
      <c r="E10" s="1"/>
      <c r="F10" s="1"/>
      <c r="G10" s="3"/>
      <c r="H10" s="3"/>
      <c r="I10" s="3"/>
      <c r="J10" s="3"/>
      <c r="K10" s="113"/>
      <c r="L10" s="115"/>
    </row>
    <row r="11" spans="2:12" x14ac:dyDescent="0.25">
      <c r="B11" s="117"/>
      <c r="C11" s="1" t="s">
        <v>12</v>
      </c>
      <c r="D11" s="15">
        <v>0</v>
      </c>
      <c r="E11" s="1" t="s">
        <v>13</v>
      </c>
      <c r="F11" s="1" t="s">
        <v>6</v>
      </c>
      <c r="G11" s="4">
        <v>-1</v>
      </c>
      <c r="H11" s="5"/>
      <c r="I11" s="6">
        <f>-D11*G9</f>
        <v>0</v>
      </c>
      <c r="J11" s="110">
        <f>-D11</f>
        <v>0</v>
      </c>
      <c r="K11" s="113">
        <f>J11/$G$9</f>
        <v>0</v>
      </c>
      <c r="L11" s="115"/>
    </row>
    <row r="12" spans="2:12" x14ac:dyDescent="0.25">
      <c r="B12" s="117"/>
      <c r="C12" s="1" t="s">
        <v>31</v>
      </c>
      <c r="D12" s="3"/>
      <c r="E12" s="1"/>
      <c r="F12" s="1"/>
      <c r="G12" s="3"/>
      <c r="H12" s="5"/>
      <c r="I12" s="5"/>
      <c r="J12" s="3"/>
      <c r="K12" s="113"/>
      <c r="L12" s="115"/>
    </row>
    <row r="13" spans="2:12" ht="15" customHeight="1" x14ac:dyDescent="0.25">
      <c r="B13" s="117"/>
      <c r="C13" s="1"/>
      <c r="D13" s="14"/>
      <c r="E13" s="14"/>
      <c r="F13" s="176" t="s">
        <v>33</v>
      </c>
      <c r="G13" s="176"/>
      <c r="H13" s="176"/>
      <c r="I13" s="176"/>
      <c r="J13" s="14"/>
      <c r="K13" s="113"/>
      <c r="L13" s="115"/>
    </row>
    <row r="14" spans="2:12" x14ac:dyDescent="0.25">
      <c r="B14" s="117"/>
      <c r="C14" s="35" t="s">
        <v>1</v>
      </c>
      <c r="D14" s="3"/>
      <c r="E14" s="1"/>
      <c r="F14" s="1"/>
      <c r="G14" s="7"/>
      <c r="H14" s="7"/>
      <c r="I14" s="7"/>
      <c r="J14" s="7"/>
      <c r="K14" s="113"/>
      <c r="L14" s="115"/>
    </row>
    <row r="15" spans="2:12" x14ac:dyDescent="0.25">
      <c r="B15" s="117"/>
      <c r="C15" s="1" t="s">
        <v>120</v>
      </c>
      <c r="D15" s="15">
        <v>50</v>
      </c>
      <c r="E15" s="1" t="s">
        <v>13</v>
      </c>
      <c r="F15" s="1" t="s">
        <v>11</v>
      </c>
      <c r="G15" s="16">
        <v>-2.5</v>
      </c>
      <c r="H15" s="1" t="s">
        <v>29</v>
      </c>
      <c r="I15" s="8">
        <f>D15*G15*G7</f>
        <v>-1250</v>
      </c>
      <c r="J15" s="109">
        <f>D15*G15</f>
        <v>-125</v>
      </c>
      <c r="K15" s="113">
        <f>J15/$G$9</f>
        <v>-3.125</v>
      </c>
      <c r="L15" s="115"/>
    </row>
    <row r="16" spans="2:12" x14ac:dyDescent="0.25">
      <c r="B16" s="117"/>
      <c r="C16" s="1"/>
      <c r="D16" s="3"/>
      <c r="E16" s="1"/>
      <c r="F16" s="1"/>
      <c r="G16" s="7"/>
      <c r="H16" s="7"/>
      <c r="I16" s="7"/>
      <c r="J16" s="7"/>
      <c r="K16" s="113"/>
      <c r="L16" s="115"/>
    </row>
    <row r="17" spans="2:44" ht="15" customHeight="1" x14ac:dyDescent="0.25">
      <c r="B17" s="117"/>
      <c r="C17" s="35" t="s">
        <v>2</v>
      </c>
      <c r="D17" s="3"/>
      <c r="E17" s="1"/>
      <c r="F17" s="1"/>
      <c r="G17" s="7"/>
      <c r="H17" s="7"/>
      <c r="I17" s="7"/>
      <c r="J17" s="7"/>
      <c r="K17" s="113"/>
      <c r="L17" s="115"/>
    </row>
    <row r="18" spans="2:44" ht="15" customHeight="1" x14ac:dyDescent="0.25">
      <c r="B18" s="117"/>
      <c r="C18" s="1" t="s">
        <v>121</v>
      </c>
      <c r="D18" s="15">
        <v>0</v>
      </c>
      <c r="E18" s="1" t="s">
        <v>13</v>
      </c>
      <c r="F18" s="1" t="s">
        <v>11</v>
      </c>
      <c r="G18" s="16">
        <v>-2.5</v>
      </c>
      <c r="H18" s="37" t="s">
        <v>60</v>
      </c>
      <c r="I18" s="8">
        <f>D18*G18*G7</f>
        <v>0</v>
      </c>
      <c r="J18" s="109">
        <f>D18*G18</f>
        <v>0</v>
      </c>
      <c r="K18" s="113">
        <f>J18/$G$9</f>
        <v>0</v>
      </c>
      <c r="L18" s="115"/>
    </row>
    <row r="19" spans="2:44" ht="15" customHeight="1" x14ac:dyDescent="0.25">
      <c r="B19" s="117"/>
      <c r="C19" s="1"/>
      <c r="D19" s="5"/>
      <c r="E19" s="1"/>
      <c r="F19" s="1"/>
      <c r="G19" s="1"/>
      <c r="H19" s="1"/>
      <c r="I19" s="1"/>
      <c r="J19" s="1"/>
      <c r="K19" s="113"/>
      <c r="L19" s="115"/>
    </row>
    <row r="20" spans="2:44" ht="15" customHeight="1" x14ac:dyDescent="0.25">
      <c r="B20" s="117"/>
      <c r="C20" s="1" t="s">
        <v>48</v>
      </c>
      <c r="D20" s="15">
        <v>2500</v>
      </c>
      <c r="E20" s="1" t="s">
        <v>13</v>
      </c>
      <c r="F20" s="1" t="s">
        <v>49</v>
      </c>
      <c r="G20" s="1"/>
      <c r="H20" s="1"/>
      <c r="I20" s="109">
        <f>-D20</f>
        <v>-2500</v>
      </c>
      <c r="J20" s="8">
        <f>I20/G7</f>
        <v>-250</v>
      </c>
      <c r="K20" s="113">
        <f>I20/($G$9*G7)</f>
        <v>-6.25</v>
      </c>
      <c r="L20" s="115"/>
    </row>
    <row r="21" spans="2:44" ht="15" customHeight="1" x14ac:dyDescent="0.25">
      <c r="B21" s="117"/>
      <c r="C21" s="1"/>
      <c r="D21" s="5"/>
      <c r="E21" s="1"/>
      <c r="F21" s="1"/>
      <c r="G21" s="1"/>
      <c r="H21" s="1"/>
      <c r="I21" s="1"/>
      <c r="J21" s="1"/>
      <c r="K21" s="113"/>
      <c r="L21" s="115"/>
    </row>
    <row r="22" spans="2:44" ht="15" customHeight="1" x14ac:dyDescent="0.25">
      <c r="B22" s="117"/>
      <c r="C22" s="1" t="s">
        <v>8</v>
      </c>
      <c r="D22" s="15">
        <v>200</v>
      </c>
      <c r="E22" s="1" t="s">
        <v>13</v>
      </c>
      <c r="F22" s="1" t="s">
        <v>11</v>
      </c>
      <c r="G22" s="16">
        <v>-5</v>
      </c>
      <c r="H22" s="8" t="s">
        <v>30</v>
      </c>
      <c r="I22" s="109">
        <f>(D22*G22)</f>
        <v>-1000</v>
      </c>
      <c r="J22" s="8">
        <f>(D22*G22)/$G$7</f>
        <v>-100</v>
      </c>
      <c r="K22" s="113">
        <f>J22/$G$9</f>
        <v>-2.5</v>
      </c>
      <c r="L22" s="115"/>
    </row>
    <row r="23" spans="2:44" ht="15" customHeight="1" x14ac:dyDescent="0.25">
      <c r="B23" s="117"/>
      <c r="C23" s="1"/>
      <c r="D23" s="5"/>
      <c r="E23" s="1"/>
      <c r="F23" s="1"/>
      <c r="G23" s="9"/>
      <c r="H23" s="8"/>
      <c r="I23" s="8"/>
      <c r="J23" s="8"/>
      <c r="K23" s="113"/>
      <c r="L23" s="115"/>
    </row>
    <row r="24" spans="2:44" ht="15" customHeight="1" x14ac:dyDescent="0.25">
      <c r="B24" s="117"/>
      <c r="C24" s="1"/>
      <c r="E24" s="14"/>
      <c r="F24" s="176" t="s">
        <v>33</v>
      </c>
      <c r="G24" s="176"/>
      <c r="H24" s="176"/>
      <c r="I24" s="176"/>
      <c r="J24" s="14"/>
      <c r="K24" s="113"/>
      <c r="L24" s="115"/>
    </row>
    <row r="25" spans="2:44" ht="15" customHeight="1" x14ac:dyDescent="0.25">
      <c r="B25" s="117"/>
      <c r="C25" s="35" t="s">
        <v>3</v>
      </c>
      <c r="D25" s="176"/>
      <c r="E25" s="176"/>
      <c r="F25" s="176"/>
      <c r="G25" s="176"/>
      <c r="H25" s="176"/>
      <c r="I25" s="176"/>
      <c r="J25" s="176"/>
      <c r="K25" s="113"/>
      <c r="L25" s="115"/>
    </row>
    <row r="26" spans="2:44" x14ac:dyDescent="0.25">
      <c r="B26" s="117"/>
      <c r="C26" s="1" t="s">
        <v>36</v>
      </c>
      <c r="D26" s="20">
        <v>225</v>
      </c>
      <c r="E26" s="31" t="s">
        <v>37</v>
      </c>
      <c r="G26" s="16">
        <v>-1</v>
      </c>
      <c r="H26" s="1" t="s">
        <v>39</v>
      </c>
      <c r="I26" s="109">
        <f>D26*G26</f>
        <v>-225</v>
      </c>
      <c r="J26" s="8">
        <f>D26*G26/$G$7</f>
        <v>-22.5</v>
      </c>
      <c r="K26" s="113">
        <f>J26/$G$9</f>
        <v>-0.5625</v>
      </c>
      <c r="L26" s="115"/>
    </row>
    <row r="27" spans="2:44" x14ac:dyDescent="0.25">
      <c r="B27" s="117"/>
      <c r="C27" s="1"/>
      <c r="D27" s="8"/>
      <c r="E27" s="31"/>
      <c r="G27" s="3"/>
      <c r="H27" s="31"/>
      <c r="I27" s="8"/>
      <c r="J27" s="8"/>
      <c r="K27" s="113"/>
      <c r="L27" s="115"/>
    </row>
    <row r="28" spans="2:44" x14ac:dyDescent="0.25">
      <c r="B28" s="117"/>
      <c r="C28" s="1" t="s">
        <v>5</v>
      </c>
      <c r="D28" s="21">
        <f>D26</f>
        <v>225</v>
      </c>
      <c r="E28" s="31" t="s">
        <v>37</v>
      </c>
      <c r="G28" s="16">
        <v>0</v>
      </c>
      <c r="H28" s="1" t="s">
        <v>40</v>
      </c>
      <c r="I28" s="8">
        <f>D28*G28*G7</f>
        <v>0</v>
      </c>
      <c r="J28" s="109">
        <f>D28*G28</f>
        <v>0</v>
      </c>
      <c r="K28" s="113">
        <f>J28/$G$9</f>
        <v>0</v>
      </c>
      <c r="L28" s="115"/>
      <c r="AR28" t="s">
        <v>52</v>
      </c>
    </row>
    <row r="29" spans="2:44" x14ac:dyDescent="0.25">
      <c r="B29" s="117"/>
      <c r="C29" s="1"/>
      <c r="D29" s="21"/>
      <c r="E29" s="31"/>
      <c r="G29" s="3"/>
      <c r="H29" s="31"/>
      <c r="I29" s="8"/>
      <c r="J29" s="8"/>
      <c r="K29" s="113"/>
      <c r="L29" s="115"/>
    </row>
    <row r="30" spans="2:44" x14ac:dyDescent="0.25">
      <c r="B30" s="117"/>
      <c r="C30" s="1" t="s">
        <v>45</v>
      </c>
      <c r="D30" s="21">
        <f>D26</f>
        <v>225</v>
      </c>
      <c r="E30" s="31" t="s">
        <v>37</v>
      </c>
      <c r="G30" s="16">
        <v>-2</v>
      </c>
      <c r="H30" s="1" t="s">
        <v>41</v>
      </c>
      <c r="I30" s="109">
        <f>D30*G30</f>
        <v>-450</v>
      </c>
      <c r="J30" s="8">
        <f>D30*G30/$G$7</f>
        <v>-45</v>
      </c>
      <c r="K30" s="113">
        <f>J30/$G$9</f>
        <v>-1.125</v>
      </c>
      <c r="L30" s="115"/>
    </row>
    <row r="31" spans="2:44" x14ac:dyDescent="0.25">
      <c r="B31" s="117"/>
      <c r="C31" s="1"/>
      <c r="D31" s="21"/>
      <c r="E31" s="31"/>
      <c r="G31" s="3"/>
      <c r="H31" s="31"/>
      <c r="I31" s="8"/>
      <c r="J31" s="8"/>
      <c r="K31" s="113"/>
      <c r="L31" s="115"/>
    </row>
    <row r="32" spans="2:44" x14ac:dyDescent="0.25">
      <c r="B32" s="117"/>
      <c r="C32" s="1" t="s">
        <v>46</v>
      </c>
      <c r="D32" s="21">
        <f>D26</f>
        <v>225</v>
      </c>
      <c r="E32" s="31" t="s">
        <v>37</v>
      </c>
      <c r="G32" s="16">
        <v>-1</v>
      </c>
      <c r="H32" s="1" t="s">
        <v>41</v>
      </c>
      <c r="I32" s="109">
        <f>D32*G32</f>
        <v>-225</v>
      </c>
      <c r="J32" s="8">
        <f>D32*G32/$G$7</f>
        <v>-22.5</v>
      </c>
      <c r="K32" s="113">
        <f>J32/$G$9</f>
        <v>-0.5625</v>
      </c>
      <c r="L32" s="115"/>
    </row>
    <row r="33" spans="2:12" x14ac:dyDescent="0.25">
      <c r="B33" s="117"/>
      <c r="C33" s="1"/>
      <c r="D33" s="21"/>
      <c r="E33" s="31"/>
      <c r="G33" s="3"/>
      <c r="H33" s="31"/>
      <c r="I33" s="8"/>
      <c r="J33" s="8"/>
      <c r="K33" s="113"/>
      <c r="L33" s="115"/>
    </row>
    <row r="34" spans="2:12" x14ac:dyDescent="0.25">
      <c r="B34" s="117"/>
      <c r="C34" s="1" t="s">
        <v>42</v>
      </c>
      <c r="D34" s="21">
        <f>D26</f>
        <v>225</v>
      </c>
      <c r="E34" s="31" t="s">
        <v>37</v>
      </c>
      <c r="G34" s="16">
        <v>-4</v>
      </c>
      <c r="H34" s="1" t="s">
        <v>41</v>
      </c>
      <c r="I34" s="109">
        <f>D34*G34</f>
        <v>-900</v>
      </c>
      <c r="J34" s="8">
        <f>D34*G34/$G$7</f>
        <v>-90</v>
      </c>
      <c r="K34" s="113">
        <f>J34/$G$9</f>
        <v>-2.25</v>
      </c>
      <c r="L34" s="115"/>
    </row>
    <row r="35" spans="2:12" x14ac:dyDescent="0.25">
      <c r="B35" s="117"/>
      <c r="C35" s="1"/>
      <c r="D35" s="21"/>
      <c r="E35" s="31"/>
      <c r="G35" s="3"/>
      <c r="H35" s="31"/>
      <c r="I35" s="8"/>
      <c r="J35" s="8"/>
      <c r="K35" s="113"/>
      <c r="L35" s="115"/>
    </row>
    <row r="36" spans="2:12" x14ac:dyDescent="0.25">
      <c r="B36" s="117"/>
      <c r="C36" s="1" t="s">
        <v>16</v>
      </c>
      <c r="D36" s="21">
        <f>D26</f>
        <v>225</v>
      </c>
      <c r="E36" s="31" t="s">
        <v>37</v>
      </c>
      <c r="G36" s="16">
        <v>-2</v>
      </c>
      <c r="H36" s="1" t="s">
        <v>41</v>
      </c>
      <c r="I36" s="109">
        <f>D36*G36</f>
        <v>-450</v>
      </c>
      <c r="J36" s="8">
        <f>D36*G36/$G$7</f>
        <v>-45</v>
      </c>
      <c r="K36" s="113">
        <f>J36/$G$9</f>
        <v>-1.125</v>
      </c>
      <c r="L36" s="115"/>
    </row>
    <row r="37" spans="2:12" x14ac:dyDescent="0.25">
      <c r="B37" s="117"/>
      <c r="C37" s="1"/>
      <c r="D37" s="3"/>
      <c r="E37" s="31"/>
      <c r="F37" s="31"/>
      <c r="G37" s="3"/>
      <c r="H37" s="3"/>
      <c r="I37" s="8"/>
      <c r="J37" s="8"/>
      <c r="K37" s="113"/>
      <c r="L37" s="115"/>
    </row>
    <row r="38" spans="2:12" x14ac:dyDescent="0.25">
      <c r="B38" s="117"/>
      <c r="C38" s="1" t="s">
        <v>9</v>
      </c>
      <c r="D38" s="15">
        <v>300</v>
      </c>
      <c r="E38" s="175" t="s">
        <v>44</v>
      </c>
      <c r="F38" s="175"/>
      <c r="G38" s="16">
        <v>-1</v>
      </c>
      <c r="H38" s="8" t="s">
        <v>38</v>
      </c>
      <c r="I38" s="109">
        <f>D38*G38</f>
        <v>-300</v>
      </c>
      <c r="J38" s="8">
        <f>D38*G38/$G$7</f>
        <v>-30</v>
      </c>
      <c r="K38" s="113">
        <f>J38/$G$9</f>
        <v>-0.75</v>
      </c>
      <c r="L38" s="115"/>
    </row>
    <row r="39" spans="2:12" x14ac:dyDescent="0.25">
      <c r="B39" s="117"/>
      <c r="C39" s="1"/>
      <c r="D39" s="3"/>
      <c r="E39" s="31"/>
      <c r="F39" s="31"/>
      <c r="G39" s="3"/>
      <c r="H39" s="3"/>
      <c r="I39" s="3"/>
      <c r="J39" s="3"/>
      <c r="K39" s="113"/>
      <c r="L39" s="115"/>
    </row>
    <row r="40" spans="2:12" x14ac:dyDescent="0.25">
      <c r="B40" s="117"/>
      <c r="C40" s="1" t="s">
        <v>7</v>
      </c>
      <c r="D40" s="15">
        <v>500</v>
      </c>
      <c r="E40" s="175" t="s">
        <v>4</v>
      </c>
      <c r="F40" s="175"/>
      <c r="G40" s="16"/>
      <c r="H40" s="8" t="s">
        <v>38</v>
      </c>
      <c r="I40" s="8">
        <f>D40*G40*G7</f>
        <v>0</v>
      </c>
      <c r="J40" s="109">
        <f>D40*G40</f>
        <v>0</v>
      </c>
      <c r="K40" s="113">
        <f>J40/$G$9</f>
        <v>0</v>
      </c>
      <c r="L40" s="115"/>
    </row>
    <row r="41" spans="2:12" x14ac:dyDescent="0.25">
      <c r="B41" s="117"/>
      <c r="C41" s="1"/>
      <c r="D41" s="3"/>
      <c r="E41" s="31"/>
      <c r="F41" s="31"/>
      <c r="G41" s="3"/>
      <c r="H41" s="3"/>
      <c r="I41" s="3"/>
      <c r="J41" s="3"/>
      <c r="K41" s="113"/>
      <c r="L41" s="115"/>
    </row>
    <row r="42" spans="2:12" x14ac:dyDescent="0.25">
      <c r="B42" s="117"/>
      <c r="C42" s="1" t="s">
        <v>10</v>
      </c>
      <c r="D42" s="15">
        <v>100</v>
      </c>
      <c r="E42" s="175" t="s">
        <v>4</v>
      </c>
      <c r="F42" s="175"/>
      <c r="G42" s="16">
        <v>0</v>
      </c>
      <c r="H42" s="8" t="s">
        <v>38</v>
      </c>
      <c r="I42" s="8">
        <f>D42*G42*G7</f>
        <v>0</v>
      </c>
      <c r="J42" s="109">
        <f>D42*G42</f>
        <v>0</v>
      </c>
      <c r="K42" s="113">
        <f>J42/$G$9</f>
        <v>0</v>
      </c>
      <c r="L42" s="115"/>
    </row>
    <row r="43" spans="2:12" x14ac:dyDescent="0.25">
      <c r="B43" s="117"/>
      <c r="C43" s="1"/>
      <c r="D43" s="1"/>
      <c r="E43" s="31"/>
      <c r="F43" s="31"/>
      <c r="G43" s="1"/>
      <c r="H43" s="1"/>
      <c r="I43" s="1"/>
      <c r="J43" s="1"/>
      <c r="K43" s="113"/>
      <c r="L43" s="115"/>
    </row>
    <row r="44" spans="2:12" x14ac:dyDescent="0.25">
      <c r="B44" s="117"/>
      <c r="C44" s="1" t="s">
        <v>55</v>
      </c>
      <c r="D44" s="15">
        <v>3</v>
      </c>
      <c r="E44" s="175" t="s">
        <v>35</v>
      </c>
      <c r="F44" s="175"/>
      <c r="G44" s="16">
        <v>-1</v>
      </c>
      <c r="H44" s="8" t="s">
        <v>38</v>
      </c>
      <c r="I44" s="8">
        <f>D44*G44*G9*G7</f>
        <v>-1200</v>
      </c>
      <c r="J44" s="8">
        <f>D44*G44*G9</f>
        <v>-120</v>
      </c>
      <c r="K44" s="111">
        <f>J44/$G$9</f>
        <v>-3</v>
      </c>
      <c r="L44" s="115"/>
    </row>
    <row r="45" spans="2:12" x14ac:dyDescent="0.25">
      <c r="B45" s="117"/>
      <c r="C45" s="1"/>
      <c r="D45" s="32"/>
      <c r="E45" s="31"/>
      <c r="F45" s="31"/>
      <c r="G45" s="33"/>
      <c r="H45" s="8"/>
      <c r="I45" s="8"/>
      <c r="J45" s="8"/>
      <c r="K45" s="113"/>
      <c r="L45" s="115"/>
    </row>
    <row r="46" spans="2:12" x14ac:dyDescent="0.25">
      <c r="B46" s="117"/>
      <c r="C46" s="1" t="s">
        <v>59</v>
      </c>
      <c r="D46" s="34">
        <v>20</v>
      </c>
      <c r="E46" s="1" t="s">
        <v>35</v>
      </c>
      <c r="F46" s="35"/>
      <c r="G46" s="16">
        <v>0</v>
      </c>
      <c r="H46" s="8" t="s">
        <v>38</v>
      </c>
      <c r="I46" s="8">
        <f>D46*G46*G9*G7</f>
        <v>0</v>
      </c>
      <c r="J46" s="8">
        <f>D46*G46*G9</f>
        <v>0</v>
      </c>
      <c r="K46" s="111">
        <f>J46/$G$9</f>
        <v>0</v>
      </c>
      <c r="L46" s="115"/>
    </row>
    <row r="47" spans="2:12" x14ac:dyDescent="0.25">
      <c r="B47" s="117"/>
      <c r="C47" s="1"/>
      <c r="D47" s="1"/>
      <c r="E47" s="31"/>
      <c r="F47" s="31"/>
      <c r="G47" s="1"/>
      <c r="H47" s="1"/>
      <c r="I47" s="1"/>
      <c r="J47" s="1"/>
      <c r="K47" s="113"/>
      <c r="L47" s="115"/>
    </row>
    <row r="48" spans="2:12" x14ac:dyDescent="0.25">
      <c r="B48" s="117"/>
      <c r="C48" s="1" t="s">
        <v>14</v>
      </c>
      <c r="D48" s="15">
        <v>100</v>
      </c>
      <c r="E48" s="175" t="s">
        <v>4</v>
      </c>
      <c r="F48" s="175"/>
      <c r="G48" s="16">
        <v>0</v>
      </c>
      <c r="H48" s="8" t="s">
        <v>38</v>
      </c>
      <c r="I48" s="8">
        <f>D48*G48*G7</f>
        <v>0</v>
      </c>
      <c r="J48" s="109">
        <f>D48*G48</f>
        <v>0</v>
      </c>
      <c r="K48" s="113">
        <f>J48/$G$9</f>
        <v>0</v>
      </c>
      <c r="L48" s="115"/>
    </row>
    <row r="49" spans="2:57" x14ac:dyDescent="0.25">
      <c r="B49" s="117"/>
      <c r="C49" s="10"/>
      <c r="D49" s="10"/>
      <c r="E49" s="10"/>
      <c r="F49" s="10"/>
      <c r="G49" s="10"/>
      <c r="H49" s="10"/>
      <c r="I49" s="10"/>
      <c r="J49" s="10"/>
      <c r="K49" s="114"/>
      <c r="L49" s="38"/>
    </row>
    <row r="50" spans="2:57" x14ac:dyDescent="0.25">
      <c r="B50" s="118"/>
      <c r="C50" s="1"/>
      <c r="D50" s="1"/>
      <c r="E50" s="1"/>
      <c r="F50" s="1"/>
      <c r="G50" s="1"/>
      <c r="H50" s="1"/>
      <c r="I50" s="1"/>
      <c r="J50" s="1"/>
      <c r="K50" s="113"/>
      <c r="L50" s="115"/>
    </row>
    <row r="51" spans="2:57" x14ac:dyDescent="0.25">
      <c r="B51" s="117"/>
      <c r="C51" s="35" t="s">
        <v>32</v>
      </c>
      <c r="D51" s="35"/>
      <c r="E51" s="35"/>
      <c r="F51" s="35"/>
      <c r="G51" s="35"/>
      <c r="H51" s="35"/>
      <c r="I51" s="36">
        <f>SUM(I26:I48,I22,I15,I11,I20,I18)</f>
        <v>-8500</v>
      </c>
      <c r="J51" s="36">
        <f>SUM(J26:J48,J22,J15,J11,J20,J18)</f>
        <v>-850</v>
      </c>
      <c r="K51" s="120">
        <f>SUM(K11:K48)</f>
        <v>-21.25</v>
      </c>
      <c r="L51" s="115"/>
    </row>
    <row r="52" spans="2:57" x14ac:dyDescent="0.25">
      <c r="B52" s="119"/>
      <c r="C52" s="10"/>
      <c r="D52" s="10"/>
      <c r="E52" s="10"/>
      <c r="F52" s="10"/>
      <c r="G52" s="10"/>
      <c r="H52" s="10"/>
      <c r="I52" s="10"/>
      <c r="J52" s="10"/>
      <c r="K52" s="114"/>
      <c r="L52" s="38"/>
    </row>
    <row r="53" spans="2:57" x14ac:dyDescent="0.25">
      <c r="C53" s="1"/>
      <c r="D53" s="1"/>
      <c r="E53" s="1"/>
      <c r="F53" s="1"/>
      <c r="G53" s="1"/>
      <c r="H53" s="1"/>
      <c r="I53" s="1"/>
      <c r="J53" s="1"/>
      <c r="K53" s="1"/>
    </row>
    <row r="55" spans="2:57" x14ac:dyDescent="0.25">
      <c r="B55" s="135"/>
      <c r="C55" s="136" t="s">
        <v>117</v>
      </c>
      <c r="D55" s="137"/>
      <c r="E55" s="137"/>
      <c r="F55" s="137"/>
      <c r="G55" s="137"/>
      <c r="H55" s="137"/>
      <c r="I55" s="138">
        <f>SUM(I20,I22,I26,I30,I32,I34,I36,I38)</f>
        <v>-6050</v>
      </c>
      <c r="J55" s="138">
        <f>SUM(J11,J15,J18,J28,J40,J42,J48)</f>
        <v>-125</v>
      </c>
      <c r="K55" s="139">
        <f>SUM(K44,K46)</f>
        <v>-3</v>
      </c>
      <c r="L55" s="140"/>
    </row>
    <row r="57" spans="2:57" x14ac:dyDescent="0.25">
      <c r="AV57" t="s">
        <v>1</v>
      </c>
    </row>
    <row r="58" spans="2:57" x14ac:dyDescent="0.25">
      <c r="AV58">
        <v>10</v>
      </c>
      <c r="AW58">
        <v>20</v>
      </c>
      <c r="AX58">
        <v>30</v>
      </c>
      <c r="AY58">
        <v>40</v>
      </c>
      <c r="AZ58">
        <v>50</v>
      </c>
      <c r="BA58">
        <v>60</v>
      </c>
      <c r="BB58">
        <v>70</v>
      </c>
      <c r="BC58">
        <v>80</v>
      </c>
      <c r="BD58">
        <v>90</v>
      </c>
      <c r="BE58">
        <v>100</v>
      </c>
    </row>
    <row r="59" spans="2:57" x14ac:dyDescent="0.25">
      <c r="AU59">
        <v>10</v>
      </c>
      <c r="AV59" s="122">
        <f t="shared" ref="AV59:BE68" si="0">($I$55+($AU59*$J$55)+(AV$58*$K$55*$AU59))/($AU59*AV$58)</f>
        <v>-76</v>
      </c>
      <c r="AW59" s="122">
        <f t="shared" si="0"/>
        <v>-39.5</v>
      </c>
      <c r="AX59" s="122">
        <f t="shared" si="0"/>
        <v>-27.333333333333332</v>
      </c>
      <c r="AY59" s="122">
        <f t="shared" si="0"/>
        <v>-21.25</v>
      </c>
      <c r="AZ59" s="122">
        <f t="shared" si="0"/>
        <v>-17.600000000000001</v>
      </c>
      <c r="BA59" s="122">
        <f t="shared" si="0"/>
        <v>-15.166666666666666</v>
      </c>
      <c r="BB59" s="122">
        <f t="shared" si="0"/>
        <v>-13.428571428571429</v>
      </c>
      <c r="BC59" s="122">
        <f t="shared" si="0"/>
        <v>-12.125</v>
      </c>
      <c r="BD59" s="122">
        <f t="shared" si="0"/>
        <v>-11.111111111111111</v>
      </c>
      <c r="BE59" s="122">
        <f t="shared" si="0"/>
        <v>-10.3</v>
      </c>
    </row>
    <row r="60" spans="2:57" x14ac:dyDescent="0.25">
      <c r="AT60" t="s">
        <v>113</v>
      </c>
      <c r="AU60">
        <v>20</v>
      </c>
      <c r="AV60" s="122">
        <f t="shared" si="0"/>
        <v>-45.75</v>
      </c>
      <c r="AW60" s="122">
        <f t="shared" si="0"/>
        <v>-24.375</v>
      </c>
      <c r="AX60" s="122">
        <f t="shared" si="0"/>
        <v>-17.25</v>
      </c>
      <c r="AY60" s="122">
        <f t="shared" si="0"/>
        <v>-13.6875</v>
      </c>
      <c r="AZ60" s="122">
        <f t="shared" si="0"/>
        <v>-11.55</v>
      </c>
      <c r="BA60" s="122">
        <f t="shared" si="0"/>
        <v>-10.125</v>
      </c>
      <c r="BB60" s="122">
        <f t="shared" si="0"/>
        <v>-9.1071428571428577</v>
      </c>
      <c r="BC60" s="122">
        <f t="shared" si="0"/>
        <v>-8.34375</v>
      </c>
      <c r="BD60" s="122">
        <f t="shared" si="0"/>
        <v>-7.75</v>
      </c>
      <c r="BE60" s="122">
        <f t="shared" si="0"/>
        <v>-7.2750000000000004</v>
      </c>
    </row>
    <row r="61" spans="2:57" x14ac:dyDescent="0.25">
      <c r="AU61">
        <v>30</v>
      </c>
      <c r="AV61" s="122">
        <f t="shared" si="0"/>
        <v>-35.666666666666664</v>
      </c>
      <c r="AW61" s="122">
        <f t="shared" si="0"/>
        <v>-19.333333333333332</v>
      </c>
      <c r="AX61" s="122">
        <f t="shared" si="0"/>
        <v>-13.888888888888889</v>
      </c>
      <c r="AY61" s="122">
        <f t="shared" si="0"/>
        <v>-11.166666666666666</v>
      </c>
      <c r="AZ61" s="122">
        <f t="shared" si="0"/>
        <v>-9.5333333333333332</v>
      </c>
      <c r="BA61" s="122">
        <f t="shared" si="0"/>
        <v>-8.4444444444444446</v>
      </c>
      <c r="BB61" s="122">
        <f t="shared" si="0"/>
        <v>-7.666666666666667</v>
      </c>
      <c r="BC61" s="122">
        <f t="shared" si="0"/>
        <v>-7.083333333333333</v>
      </c>
      <c r="BD61" s="122">
        <f t="shared" si="0"/>
        <v>-6.6296296296296298</v>
      </c>
      <c r="BE61" s="122">
        <f t="shared" si="0"/>
        <v>-6.2666666666666666</v>
      </c>
    </row>
    <row r="62" spans="2:57" x14ac:dyDescent="0.25">
      <c r="AU62">
        <v>40</v>
      </c>
      <c r="AV62" s="122">
        <f t="shared" si="0"/>
        <v>-30.625</v>
      </c>
      <c r="AW62" s="122">
        <f t="shared" si="0"/>
        <v>-16.8125</v>
      </c>
      <c r="AX62" s="122">
        <f t="shared" si="0"/>
        <v>-12.208333333333334</v>
      </c>
      <c r="AY62" s="122">
        <f t="shared" si="0"/>
        <v>-9.90625</v>
      </c>
      <c r="AZ62" s="122">
        <f t="shared" si="0"/>
        <v>-8.5250000000000004</v>
      </c>
      <c r="BA62" s="122">
        <f t="shared" si="0"/>
        <v>-7.604166666666667</v>
      </c>
      <c r="BB62" s="122">
        <f t="shared" si="0"/>
        <v>-6.9464285714285712</v>
      </c>
      <c r="BC62" s="122">
        <f t="shared" si="0"/>
        <v>-6.453125</v>
      </c>
      <c r="BD62" s="122">
        <f t="shared" si="0"/>
        <v>-6.0694444444444446</v>
      </c>
      <c r="BE62" s="122">
        <f t="shared" si="0"/>
        <v>-5.7625000000000002</v>
      </c>
    </row>
    <row r="63" spans="2:57" x14ac:dyDescent="0.25">
      <c r="AU63">
        <v>50</v>
      </c>
      <c r="AV63" s="122">
        <f t="shared" si="0"/>
        <v>-27.6</v>
      </c>
      <c r="AW63" s="122">
        <f t="shared" si="0"/>
        <v>-15.3</v>
      </c>
      <c r="AX63" s="122">
        <f t="shared" si="0"/>
        <v>-11.2</v>
      </c>
      <c r="AY63" s="122">
        <f t="shared" si="0"/>
        <v>-9.15</v>
      </c>
      <c r="AZ63" s="122">
        <f t="shared" si="0"/>
        <v>-7.92</v>
      </c>
      <c r="BA63" s="122">
        <f t="shared" si="0"/>
        <v>-7.1</v>
      </c>
      <c r="BB63" s="122">
        <f t="shared" si="0"/>
        <v>-6.5142857142857142</v>
      </c>
      <c r="BC63" s="122">
        <f t="shared" si="0"/>
        <v>-6.0750000000000002</v>
      </c>
      <c r="BD63" s="122">
        <f t="shared" si="0"/>
        <v>-5.7333333333333334</v>
      </c>
      <c r="BE63" s="122">
        <f t="shared" si="0"/>
        <v>-5.46</v>
      </c>
    </row>
    <row r="64" spans="2:57" x14ac:dyDescent="0.25">
      <c r="AU64">
        <v>60</v>
      </c>
      <c r="AV64" s="122">
        <f t="shared" si="0"/>
        <v>-25.583333333333332</v>
      </c>
      <c r="AW64" s="122">
        <f t="shared" si="0"/>
        <v>-14.291666666666666</v>
      </c>
      <c r="AX64" s="122">
        <f t="shared" si="0"/>
        <v>-10.527777777777779</v>
      </c>
      <c r="AY64" s="122">
        <f t="shared" si="0"/>
        <v>-8.6458333333333339</v>
      </c>
      <c r="AZ64" s="122">
        <f t="shared" si="0"/>
        <v>-7.5166666666666666</v>
      </c>
      <c r="BA64" s="122">
        <f t="shared" si="0"/>
        <v>-6.7638888888888893</v>
      </c>
      <c r="BB64" s="122">
        <f t="shared" si="0"/>
        <v>-6.2261904761904763</v>
      </c>
      <c r="BC64" s="122">
        <f t="shared" si="0"/>
        <v>-5.822916666666667</v>
      </c>
      <c r="BD64" s="122">
        <f t="shared" si="0"/>
        <v>-5.5092592592592595</v>
      </c>
      <c r="BE64" s="122">
        <f t="shared" si="0"/>
        <v>-5.2583333333333337</v>
      </c>
    </row>
    <row r="65" spans="47:57" x14ac:dyDescent="0.25">
      <c r="AU65">
        <v>70</v>
      </c>
      <c r="AV65" s="122">
        <f t="shared" si="0"/>
        <v>-24.142857142857142</v>
      </c>
      <c r="AW65" s="122">
        <f t="shared" si="0"/>
        <v>-13.571428571428571</v>
      </c>
      <c r="AX65" s="122">
        <f t="shared" si="0"/>
        <v>-10.047619047619047</v>
      </c>
      <c r="AY65" s="122">
        <f t="shared" si="0"/>
        <v>-8.2857142857142865</v>
      </c>
      <c r="AZ65" s="122">
        <f t="shared" si="0"/>
        <v>-7.2285714285714286</v>
      </c>
      <c r="BA65" s="122">
        <f t="shared" si="0"/>
        <v>-6.5238095238095237</v>
      </c>
      <c r="BB65" s="122">
        <f t="shared" si="0"/>
        <v>-6.0204081632653059</v>
      </c>
      <c r="BC65" s="122">
        <f t="shared" si="0"/>
        <v>-5.6428571428571432</v>
      </c>
      <c r="BD65" s="122">
        <f t="shared" si="0"/>
        <v>-5.3492063492063489</v>
      </c>
      <c r="BE65" s="122">
        <f t="shared" si="0"/>
        <v>-5.1142857142857139</v>
      </c>
    </row>
    <row r="66" spans="47:57" x14ac:dyDescent="0.25">
      <c r="AU66">
        <v>80</v>
      </c>
      <c r="AV66" s="122">
        <f t="shared" si="0"/>
        <v>-23.0625</v>
      </c>
      <c r="AW66" s="122">
        <f t="shared" si="0"/>
        <v>-13.03125</v>
      </c>
      <c r="AX66" s="122">
        <f t="shared" si="0"/>
        <v>-9.6875</v>
      </c>
      <c r="AY66" s="122">
        <f t="shared" si="0"/>
        <v>-8.015625</v>
      </c>
      <c r="AZ66" s="122">
        <f t="shared" si="0"/>
        <v>-7.0125000000000002</v>
      </c>
      <c r="BA66" s="122">
        <f t="shared" si="0"/>
        <v>-6.34375</v>
      </c>
      <c r="BB66" s="122">
        <f t="shared" si="0"/>
        <v>-5.8660714285714288</v>
      </c>
      <c r="BC66" s="122">
        <f t="shared" si="0"/>
        <v>-5.5078125</v>
      </c>
      <c r="BD66" s="122">
        <f t="shared" si="0"/>
        <v>-5.229166666666667</v>
      </c>
      <c r="BE66" s="122">
        <f t="shared" si="0"/>
        <v>-5.0062499999999996</v>
      </c>
    </row>
    <row r="67" spans="47:57" x14ac:dyDescent="0.25">
      <c r="AU67">
        <v>90</v>
      </c>
      <c r="AV67" s="122">
        <f t="shared" si="0"/>
        <v>-22.222222222222221</v>
      </c>
      <c r="AW67" s="122">
        <f t="shared" si="0"/>
        <v>-12.611111111111111</v>
      </c>
      <c r="AX67" s="122">
        <f t="shared" si="0"/>
        <v>-9.4074074074074066</v>
      </c>
      <c r="AY67" s="122">
        <f t="shared" si="0"/>
        <v>-7.8055555555555554</v>
      </c>
      <c r="AZ67" s="122">
        <f t="shared" si="0"/>
        <v>-6.8444444444444441</v>
      </c>
      <c r="BA67" s="122">
        <f t="shared" si="0"/>
        <v>-6.2037037037037033</v>
      </c>
      <c r="BB67" s="122">
        <f t="shared" si="0"/>
        <v>-5.746031746031746</v>
      </c>
      <c r="BC67" s="122">
        <f t="shared" si="0"/>
        <v>-5.4027777777777777</v>
      </c>
      <c r="BD67" s="122">
        <f t="shared" si="0"/>
        <v>-5.1358024691358022</v>
      </c>
      <c r="BE67" s="122">
        <f t="shared" si="0"/>
        <v>-4.9222222222222225</v>
      </c>
    </row>
    <row r="68" spans="47:57" x14ac:dyDescent="0.25">
      <c r="AU68">
        <v>100</v>
      </c>
      <c r="AV68" s="122">
        <f t="shared" si="0"/>
        <v>-21.55</v>
      </c>
      <c r="AW68" s="122">
        <f t="shared" si="0"/>
        <v>-12.275</v>
      </c>
      <c r="AX68" s="122">
        <f t="shared" si="0"/>
        <v>-9.1833333333333336</v>
      </c>
      <c r="AY68" s="122">
        <f t="shared" si="0"/>
        <v>-7.6375000000000002</v>
      </c>
      <c r="AZ68" s="122">
        <f t="shared" si="0"/>
        <v>-6.71</v>
      </c>
      <c r="BA68" s="122">
        <f t="shared" si="0"/>
        <v>-6.0916666666666668</v>
      </c>
      <c r="BB68" s="122">
        <f t="shared" si="0"/>
        <v>-5.65</v>
      </c>
      <c r="BC68" s="122">
        <f t="shared" si="0"/>
        <v>-5.3187499999999996</v>
      </c>
      <c r="BD68" s="122">
        <f t="shared" si="0"/>
        <v>-5.0611111111111109</v>
      </c>
      <c r="BE68" s="122">
        <f t="shared" si="0"/>
        <v>-4.8550000000000004</v>
      </c>
    </row>
    <row r="71" spans="47:57" x14ac:dyDescent="0.25">
      <c r="AV71" s="121"/>
    </row>
  </sheetData>
  <sheetProtection sheet="1" objects="1" scenarios="1"/>
  <mergeCells count="10">
    <mergeCell ref="D4:F4"/>
    <mergeCell ref="C2:J2"/>
    <mergeCell ref="E38:F38"/>
    <mergeCell ref="E40:F40"/>
    <mergeCell ref="E42:F42"/>
    <mergeCell ref="E48:F48"/>
    <mergeCell ref="D25:J25"/>
    <mergeCell ref="F13:I13"/>
    <mergeCell ref="F24:I24"/>
    <mergeCell ref="E44:F44"/>
  </mergeCells>
  <dataValidations xWindow="170" yWindow="545" count="21">
    <dataValidation allowBlank="1" showInputMessage="1" showErrorMessage="1" prompt="Angiv det samlede antal timer til rengøring af såmaskine inden såning af afgrøde til konsum, herunder for støv mv. af hensyn til renhed for gluten. _x000a__x000a_Timerne fordeles automatisk på det samlede antal ha med afgrøden._x000a__x000a_Husk negativt fortegn_x000a_" sqref="G26" xr:uid="{23E004E1-7E04-407F-9AC0-2216CC5A74D0}"/>
    <dataValidation allowBlank="1" showInputMessage="1" showErrorMessage="1" prompt="Angiv antal timer pr. ha til eventuelt lugning. _x000a__x000a_Husk negativt fortegn._x000a_" sqref="G28" xr:uid="{94AA5957-0AB1-42E6-9CB7-CF0BD1EC03B3}"/>
    <dataValidation allowBlank="1" showInputMessage="1" showErrorMessage="1" prompt="Angiv det samlede antal timer til rengøring af mejetærsker inden høst af afgrøde til konsum, herunder for støv mv. af hensyn til renhed for gluten. _x000a__x000a_Timerne fordeles automatisk på det samlede antal ha med afgrøden._x000a__x000a_Husk negativt fortegn." sqref="G30" xr:uid="{307C407D-73E2-4A48-A151-7F2014FE8B17}"/>
    <dataValidation allowBlank="1" showInputMessage="1" showErrorMessage="1" prompt="Angiv det samlede antal timer til rengøring af vogne inden høst af afgrøde til konsum, herunder for støv mv. af hensyn til renhed for gluten. _x000a__x000a_Timerne fordeles automatisk på det samlede antal ha med afgrøden._x000a__x000a_Husk negativt fortegn." sqref="G32" xr:uid="{E0B66BF0-DF80-473D-AB66-92F41D9F8881}"/>
    <dataValidation allowBlank="1" showInputMessage="1" showErrorMessage="1" prompt="Angiv det samlede antal timer til rengøring af siloer/lager inden høst af afgrøde til konsum, herunder for støv mv. af hensyn til renhed for gluten. _x000a__x000a_Timerne fordeles automatisk på det samlede antal ha med afgrøden._x000a__x000a_Husk negativt fortegn." sqref="G34" xr:uid="{90C946F0-8E2C-4F29-A0BB-3DAA2C819BAB}"/>
    <dataValidation allowBlank="1" showInputMessage="1" showErrorMessage="1" prompt="Angiv det samlede antal timer til rengøring af indengårds transportanlæg inden høst af afgrøde til konsum, herunder for støv mv. af hensyn til renhed for gluten. _x000a__x000a_Timerne fordeles automatisk på det samlede antal ha med afgrøden._x000a__x000a_Husk negativt fortegn." sqref="G36" xr:uid="{4B584AC4-950F-4B83-A356-3973D5A02B74}"/>
    <dataValidation allowBlank="1" showInputMessage="1" showErrorMessage="1" prompt="Angiv gennemsnitlig lønomkostning i forbindelse med håndtering af afgrøde til konsum, kr. pr. time" sqref="D26" xr:uid="{25C63824-DDA6-4723-902F-4CF8DF99AD74}"/>
    <dataValidation allowBlank="1" showInputMessage="1" showErrorMessage="1" prompt="Angiv forventet omkostning til eventuel ekstra skadedyrssikring. " sqref="D38" xr:uid="{189F8451-E17D-4360-BE64-1328F7B02493}"/>
    <dataValidation allowBlank="1" showInputMessage="1" showErrorMessage="1" prompt="Angiv forventet meromkostning til ekstra skånsomhed ved håndtering af konsumafgrøde, kr. pr. ha." sqref="D42 D45" xr:uid="{AD05DE97-EB36-4B5D-9232-9E7B62564059}"/>
    <dataValidation allowBlank="1" showInputMessage="1" showErrorMessage="1" prompt="Angiv eventuelle øvrige ekstraomkostninger ved dyrkning af afgrøde til konsum, kr. pr. ha._x000a_" sqref="D48" xr:uid="{0044AE68-38E5-4E46-A6FC-867F51D7A95B}"/>
    <dataValidation allowBlank="1" showInputMessage="1" showErrorMessage="1" prompt="Angiv det samlede antal ha med afgrøden._x000a_" sqref="G7:G8" xr:uid="{2CE99CD3-027E-4A55-B473-5816D6DFBED9}"/>
    <dataValidation allowBlank="1" showInputMessage="1" showErrorMessage="1" prompt="Angiv eventuelle omkostninger som valg afgrøde til konsum pålægger markbruget (f.eks. krav om kornfri forfrugt ved dyrkning af glutenfri havre eller andre sædskiftemæssige begrænsninger)._x000a_" sqref="D11" xr:uid="{DCDBAAFA-5675-4C2F-B59B-F83961D66347}"/>
    <dataValidation allowBlank="1" showInputMessage="1" showErrorMessage="1" prompt="Angiv forventet frarenset mængde afgrøde (hkg pr. ha) og forventet prisreduktion (kr. pr. hkg). _x000a__x000a_Husk negativt fortegn på mængden." sqref="D15 G15" xr:uid="{C346D3ED-BD09-4E41-AC27-B7940B4E9747}"/>
    <dataValidation allowBlank="1" showInputMessage="1" showErrorMessage="1" prompt="Angiv eventuel merpris på udsæd af afgrøden til konsum ifht. udsædsprisen til foder." sqref="D18 D20" xr:uid="{E83F1D58-56EF-4B2D-B4EF-43E398C355C1}"/>
    <dataValidation allowBlank="1" showInputMessage="1" showErrorMessage="1" prompt="Angiv forventet mængde (hkg) og pris (kr. pr. hkg) på afgrøde der bruges til at &quot;skylle&quot; lager/transportanlæg. _x000a__x000a_Husk negativt fortegn på mængden. " sqref="D22 G22" xr:uid="{78E134A4-0EC6-457C-9334-BC6DB261DA57}"/>
    <dataValidation allowBlank="1" showInputMessage="1" showErrorMessage="1" prompt="Angiv det forventede udbytte i afgrøden" sqref="G9" xr:uid="{CF97DD30-EB88-44A9-B350-337538180236}"/>
    <dataValidation allowBlank="1" showInputMessage="1" showErrorMessage="1" prompt="Angiv forventet mængde udsæd af afgrøde (hkg pr. ha) _x000a__x000a_Husk negativt fortegn på mængden." sqref="G18" xr:uid="{88AEB45C-73A1-42E2-8147-5A073E990198}"/>
    <dataValidation allowBlank="1" showInputMessage="1" showErrorMessage="1" prompt="Husk negativt fortegn" sqref="G38 G42 G44 G46 G48 G40" xr:uid="{63F25323-FD9B-4BED-AE2C-22AB5CEF14BB}"/>
    <dataValidation allowBlank="1" showInputMessage="1" showErrorMessage="1" prompt="Angiv den forventede omkostning til skårlægning i kr. pr. ha _x000a_" sqref="D40" xr:uid="{DB85802F-D4C7-46B5-A388-B6274F94940D}"/>
    <dataValidation allowBlank="1" showInputMessage="1" showErrorMessage="1" prompt="Angiv forventet meromkostning til ekstra oprensning til konsumkvalitet, kr. pr. ha." sqref="D44" xr:uid="{FCDC55C8-5813-4EBE-8FD4-B1183213CD93}"/>
    <dataValidation allowBlank="1" showInputMessage="1" showErrorMessage="1" prompt="Angiv forventede omkostninger til sortering ved samdyrkning, kr. pr. hkg" sqref="D46" xr:uid="{C08C4085-D451-4D76-BAC4-09C0817E4BC0}"/>
  </dataValidation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F71C-3DAE-4F7D-8E59-ABCA303541C0}">
  <sheetPr>
    <pageSetUpPr fitToPage="1"/>
  </sheetPr>
  <dimension ref="B2:P21"/>
  <sheetViews>
    <sheetView showGridLines="0" workbookViewId="0">
      <selection activeCell="C1" sqref="C1"/>
    </sheetView>
  </sheetViews>
  <sheetFormatPr defaultRowHeight="14.25" x14ac:dyDescent="0.2"/>
  <cols>
    <col min="1" max="3" width="9.140625" style="1"/>
    <col min="4" max="4" width="4.42578125" style="1" bestFit="1" customWidth="1"/>
    <col min="5" max="5" width="12.85546875" style="1" bestFit="1" customWidth="1"/>
    <col min="6" max="14" width="9.28515625" style="1" bestFit="1" customWidth="1"/>
    <col min="15" max="16384" width="9.140625" style="1"/>
  </cols>
  <sheetData>
    <row r="2" spans="2:16" ht="14.25" customHeight="1" x14ac:dyDescent="0.2">
      <c r="C2" s="179" t="s">
        <v>112</v>
      </c>
      <c r="D2" s="180"/>
      <c r="E2" s="180"/>
      <c r="F2" s="180"/>
      <c r="G2" s="180"/>
      <c r="H2" s="180"/>
      <c r="I2" s="180"/>
      <c r="J2" s="180"/>
      <c r="K2" s="180"/>
      <c r="L2" s="180"/>
      <c r="M2" s="180"/>
      <c r="N2" s="181"/>
    </row>
    <row r="3" spans="2:16" ht="14.25" customHeight="1" x14ac:dyDescent="0.2">
      <c r="C3" s="182"/>
      <c r="D3" s="183"/>
      <c r="E3" s="183"/>
      <c r="F3" s="183"/>
      <c r="G3" s="183"/>
      <c r="H3" s="183"/>
      <c r="I3" s="183"/>
      <c r="J3" s="183"/>
      <c r="K3" s="183"/>
      <c r="L3" s="183"/>
      <c r="M3" s="183"/>
      <c r="N3" s="184"/>
      <c r="O3" s="127"/>
      <c r="P3" s="127"/>
    </row>
    <row r="4" spans="2:16" x14ac:dyDescent="0.2">
      <c r="B4" s="127"/>
      <c r="C4" s="182"/>
      <c r="D4" s="183"/>
      <c r="E4" s="183"/>
      <c r="F4" s="183"/>
      <c r="G4" s="183"/>
      <c r="H4" s="183"/>
      <c r="I4" s="183"/>
      <c r="J4" s="183"/>
      <c r="K4" s="183"/>
      <c r="L4" s="183"/>
      <c r="M4" s="183"/>
      <c r="N4" s="184"/>
      <c r="O4" s="127"/>
      <c r="P4" s="127"/>
    </row>
    <row r="5" spans="2:16" ht="15.75" customHeight="1" x14ac:dyDescent="0.2">
      <c r="B5" s="127"/>
      <c r="C5" s="141"/>
      <c r="D5" s="142"/>
      <c r="E5" s="142"/>
      <c r="F5" s="142"/>
      <c r="G5" s="142"/>
      <c r="H5" s="142"/>
      <c r="I5" s="142"/>
      <c r="J5" s="142"/>
      <c r="K5" s="142"/>
      <c r="L5" s="144" t="s">
        <v>106</v>
      </c>
      <c r="M5" s="144" t="s">
        <v>4</v>
      </c>
      <c r="N5" s="145" t="s">
        <v>35</v>
      </c>
      <c r="O5" s="127"/>
      <c r="P5" s="127"/>
    </row>
    <row r="6" spans="2:16" x14ac:dyDescent="0.2">
      <c r="C6" s="143" t="str">
        <f>'Beregn omkostninger'!C55</f>
        <v>Omkostninger til beregning af følsomhed; faste + arealafhængige + udbytteafhængige</v>
      </c>
      <c r="D6" s="10"/>
      <c r="E6" s="10"/>
      <c r="F6" s="10"/>
      <c r="G6" s="10"/>
      <c r="H6" s="10"/>
      <c r="I6" s="10"/>
      <c r="J6" s="10"/>
      <c r="K6" s="10"/>
      <c r="L6" s="146">
        <f>'Beregn omkostninger'!I55</f>
        <v>-6050</v>
      </c>
      <c r="M6" s="146">
        <f>'Beregn omkostninger'!J55</f>
        <v>-125</v>
      </c>
      <c r="N6" s="147">
        <f>'Beregn omkostninger'!K55</f>
        <v>-3</v>
      </c>
    </row>
    <row r="9" spans="2:16" x14ac:dyDescent="0.2">
      <c r="C9" s="185"/>
      <c r="D9" s="186"/>
      <c r="E9" s="194" t="s">
        <v>115</v>
      </c>
      <c r="F9" s="195"/>
      <c r="G9" s="195"/>
      <c r="H9" s="195"/>
      <c r="I9" s="195"/>
      <c r="J9" s="195"/>
      <c r="K9" s="195"/>
      <c r="L9" s="195"/>
      <c r="M9" s="195"/>
      <c r="N9" s="196"/>
    </row>
    <row r="10" spans="2:16" x14ac:dyDescent="0.2">
      <c r="C10" s="187"/>
      <c r="D10" s="188"/>
      <c r="E10" s="106">
        <f>'Beregn omkostninger'!AV58</f>
        <v>10</v>
      </c>
      <c r="F10" s="126">
        <f>'Beregn omkostninger'!AW58</f>
        <v>20</v>
      </c>
      <c r="G10" s="126">
        <f>'Beregn omkostninger'!AX58</f>
        <v>30</v>
      </c>
      <c r="H10" s="126">
        <f>'Beregn omkostninger'!AY58</f>
        <v>40</v>
      </c>
      <c r="I10" s="126">
        <f>'Beregn omkostninger'!AZ58</f>
        <v>50</v>
      </c>
      <c r="J10" s="126">
        <f>'Beregn omkostninger'!BA58</f>
        <v>60</v>
      </c>
      <c r="K10" s="126">
        <f>'Beregn omkostninger'!BB58</f>
        <v>70</v>
      </c>
      <c r="L10" s="126">
        <f>'Beregn omkostninger'!BC58</f>
        <v>80</v>
      </c>
      <c r="M10" s="126">
        <f>'Beregn omkostninger'!BD58</f>
        <v>90</v>
      </c>
      <c r="N10" s="107">
        <f>'Beregn omkostninger'!BE58</f>
        <v>100</v>
      </c>
    </row>
    <row r="11" spans="2:16" x14ac:dyDescent="0.2">
      <c r="C11" s="189"/>
      <c r="D11" s="190"/>
      <c r="E11" s="191" t="s">
        <v>116</v>
      </c>
      <c r="F11" s="192"/>
      <c r="G11" s="192"/>
      <c r="H11" s="192"/>
      <c r="I11" s="192"/>
      <c r="J11" s="192"/>
      <c r="K11" s="192"/>
      <c r="L11" s="192"/>
      <c r="M11" s="192"/>
      <c r="N11" s="193"/>
    </row>
    <row r="12" spans="2:16" x14ac:dyDescent="0.2">
      <c r="C12" s="197" t="s">
        <v>114</v>
      </c>
      <c r="D12" s="105">
        <f>'Beregn omkostninger'!AU59</f>
        <v>10</v>
      </c>
      <c r="E12" s="128">
        <f>'Beregn omkostninger'!AV59</f>
        <v>-76</v>
      </c>
      <c r="F12" s="128">
        <f>'Beregn omkostninger'!AW59</f>
        <v>-39.5</v>
      </c>
      <c r="G12" s="128">
        <f>'Beregn omkostninger'!AX59</f>
        <v>-27.333333333333332</v>
      </c>
      <c r="H12" s="128">
        <f>'Beregn omkostninger'!AY59</f>
        <v>-21.25</v>
      </c>
      <c r="I12" s="128">
        <f>'Beregn omkostninger'!AZ59</f>
        <v>-17.600000000000001</v>
      </c>
      <c r="J12" s="128">
        <f>'Beregn omkostninger'!BA59</f>
        <v>-15.166666666666666</v>
      </c>
      <c r="K12" s="128">
        <f>'Beregn omkostninger'!BB59</f>
        <v>-13.428571428571429</v>
      </c>
      <c r="L12" s="128">
        <f>'Beregn omkostninger'!BC59</f>
        <v>-12.125</v>
      </c>
      <c r="M12" s="128">
        <f>'Beregn omkostninger'!BD59</f>
        <v>-11.111111111111111</v>
      </c>
      <c r="N12" s="128">
        <f>'Beregn omkostninger'!BE59</f>
        <v>-10.3</v>
      </c>
    </row>
    <row r="13" spans="2:16" x14ac:dyDescent="0.2">
      <c r="C13" s="197"/>
      <c r="D13" s="105">
        <f>'Beregn omkostninger'!AU60</f>
        <v>20</v>
      </c>
      <c r="E13" s="128">
        <f>'Beregn omkostninger'!AV60</f>
        <v>-45.75</v>
      </c>
      <c r="F13" s="128">
        <f>'Beregn omkostninger'!AW60</f>
        <v>-24.375</v>
      </c>
      <c r="G13" s="128">
        <f>'Beregn omkostninger'!AX60</f>
        <v>-17.25</v>
      </c>
      <c r="H13" s="128">
        <f>'Beregn omkostninger'!AY60</f>
        <v>-13.6875</v>
      </c>
      <c r="I13" s="128">
        <f>'Beregn omkostninger'!AZ60</f>
        <v>-11.55</v>
      </c>
      <c r="J13" s="128">
        <f>'Beregn omkostninger'!BA60</f>
        <v>-10.125</v>
      </c>
      <c r="K13" s="128">
        <f>'Beregn omkostninger'!BB60</f>
        <v>-9.1071428571428577</v>
      </c>
      <c r="L13" s="128">
        <f>'Beregn omkostninger'!BC60</f>
        <v>-8.34375</v>
      </c>
      <c r="M13" s="128">
        <f>'Beregn omkostninger'!BD60</f>
        <v>-7.75</v>
      </c>
      <c r="N13" s="128">
        <f>'Beregn omkostninger'!BE60</f>
        <v>-7.2750000000000004</v>
      </c>
    </row>
    <row r="14" spans="2:16" x14ac:dyDescent="0.2">
      <c r="C14" s="197"/>
      <c r="D14" s="105">
        <f>'Beregn omkostninger'!AU61</f>
        <v>30</v>
      </c>
      <c r="E14" s="128">
        <f>'Beregn omkostninger'!AV61</f>
        <v>-35.666666666666664</v>
      </c>
      <c r="F14" s="128">
        <f>'Beregn omkostninger'!AW61</f>
        <v>-19.333333333333332</v>
      </c>
      <c r="G14" s="128">
        <f>'Beregn omkostninger'!AX61</f>
        <v>-13.888888888888889</v>
      </c>
      <c r="H14" s="128">
        <f>'Beregn omkostninger'!AY61</f>
        <v>-11.166666666666666</v>
      </c>
      <c r="I14" s="128">
        <f>'Beregn omkostninger'!AZ61</f>
        <v>-9.5333333333333332</v>
      </c>
      <c r="J14" s="128">
        <f>'Beregn omkostninger'!BA61</f>
        <v>-8.4444444444444446</v>
      </c>
      <c r="K14" s="128">
        <f>'Beregn omkostninger'!BB61</f>
        <v>-7.666666666666667</v>
      </c>
      <c r="L14" s="128">
        <f>'Beregn omkostninger'!BC61</f>
        <v>-7.083333333333333</v>
      </c>
      <c r="M14" s="128">
        <f>'Beregn omkostninger'!BD61</f>
        <v>-6.6296296296296298</v>
      </c>
      <c r="N14" s="128">
        <f>'Beregn omkostninger'!BE61</f>
        <v>-6.2666666666666666</v>
      </c>
    </row>
    <row r="15" spans="2:16" x14ac:dyDescent="0.2">
      <c r="C15" s="197"/>
      <c r="D15" s="105">
        <f>'Beregn omkostninger'!AU62</f>
        <v>40</v>
      </c>
      <c r="E15" s="128">
        <f>'Beregn omkostninger'!AV62</f>
        <v>-30.625</v>
      </c>
      <c r="F15" s="128">
        <f>'Beregn omkostninger'!AW62</f>
        <v>-16.8125</v>
      </c>
      <c r="G15" s="128">
        <f>'Beregn omkostninger'!AX62</f>
        <v>-12.208333333333334</v>
      </c>
      <c r="H15" s="128">
        <f>'Beregn omkostninger'!AY62</f>
        <v>-9.90625</v>
      </c>
      <c r="I15" s="128">
        <f>'Beregn omkostninger'!AZ62</f>
        <v>-8.5250000000000004</v>
      </c>
      <c r="J15" s="128">
        <f>'Beregn omkostninger'!BA62</f>
        <v>-7.604166666666667</v>
      </c>
      <c r="K15" s="128">
        <f>'Beregn omkostninger'!BB62</f>
        <v>-6.9464285714285712</v>
      </c>
      <c r="L15" s="128">
        <f>'Beregn omkostninger'!BC62</f>
        <v>-6.453125</v>
      </c>
      <c r="M15" s="128">
        <f>'Beregn omkostninger'!BD62</f>
        <v>-6.0694444444444446</v>
      </c>
      <c r="N15" s="128">
        <f>'Beregn omkostninger'!BE62</f>
        <v>-5.7625000000000002</v>
      </c>
    </row>
    <row r="16" spans="2:16" x14ac:dyDescent="0.2">
      <c r="C16" s="197"/>
      <c r="D16" s="105">
        <f>'Beregn omkostninger'!AU63</f>
        <v>50</v>
      </c>
      <c r="E16" s="128">
        <f>'Beregn omkostninger'!AV63</f>
        <v>-27.6</v>
      </c>
      <c r="F16" s="128">
        <f>'Beregn omkostninger'!AW63</f>
        <v>-15.3</v>
      </c>
      <c r="G16" s="128">
        <f>'Beregn omkostninger'!AX63</f>
        <v>-11.2</v>
      </c>
      <c r="H16" s="128">
        <f>'Beregn omkostninger'!AY63</f>
        <v>-9.15</v>
      </c>
      <c r="I16" s="128">
        <f>'Beregn omkostninger'!AZ63</f>
        <v>-7.92</v>
      </c>
      <c r="J16" s="128">
        <f>'Beregn omkostninger'!BA63</f>
        <v>-7.1</v>
      </c>
      <c r="K16" s="128">
        <f>'Beregn omkostninger'!BB63</f>
        <v>-6.5142857142857142</v>
      </c>
      <c r="L16" s="128">
        <f>'Beregn omkostninger'!BC63</f>
        <v>-6.0750000000000002</v>
      </c>
      <c r="M16" s="128">
        <f>'Beregn omkostninger'!BD63</f>
        <v>-5.7333333333333334</v>
      </c>
      <c r="N16" s="128">
        <f>'Beregn omkostninger'!BE63</f>
        <v>-5.46</v>
      </c>
    </row>
    <row r="17" spans="3:14" x14ac:dyDescent="0.2">
      <c r="C17" s="197"/>
      <c r="D17" s="105">
        <f>'Beregn omkostninger'!AU64</f>
        <v>60</v>
      </c>
      <c r="E17" s="128">
        <f>'Beregn omkostninger'!AV64</f>
        <v>-25.583333333333332</v>
      </c>
      <c r="F17" s="128">
        <f>'Beregn omkostninger'!AW64</f>
        <v>-14.291666666666666</v>
      </c>
      <c r="G17" s="128">
        <f>'Beregn omkostninger'!AX64</f>
        <v>-10.527777777777779</v>
      </c>
      <c r="H17" s="128">
        <f>'Beregn omkostninger'!AY64</f>
        <v>-8.6458333333333339</v>
      </c>
      <c r="I17" s="128">
        <f>'Beregn omkostninger'!AZ64</f>
        <v>-7.5166666666666666</v>
      </c>
      <c r="J17" s="128">
        <f>'Beregn omkostninger'!BA64</f>
        <v>-6.7638888888888893</v>
      </c>
      <c r="K17" s="128">
        <f>'Beregn omkostninger'!BB64</f>
        <v>-6.2261904761904763</v>
      </c>
      <c r="L17" s="128">
        <f>'Beregn omkostninger'!BC64</f>
        <v>-5.822916666666667</v>
      </c>
      <c r="M17" s="128">
        <f>'Beregn omkostninger'!BD64</f>
        <v>-5.5092592592592595</v>
      </c>
      <c r="N17" s="128">
        <f>'Beregn omkostninger'!BE64</f>
        <v>-5.2583333333333337</v>
      </c>
    </row>
    <row r="18" spans="3:14" x14ac:dyDescent="0.2">
      <c r="C18" s="197"/>
      <c r="D18" s="105">
        <f>'Beregn omkostninger'!AU65</f>
        <v>70</v>
      </c>
      <c r="E18" s="128">
        <f>'Beregn omkostninger'!AV65</f>
        <v>-24.142857142857142</v>
      </c>
      <c r="F18" s="128">
        <f>'Beregn omkostninger'!AW65</f>
        <v>-13.571428571428571</v>
      </c>
      <c r="G18" s="128">
        <f>'Beregn omkostninger'!AX65</f>
        <v>-10.047619047619047</v>
      </c>
      <c r="H18" s="128">
        <f>'Beregn omkostninger'!AY65</f>
        <v>-8.2857142857142865</v>
      </c>
      <c r="I18" s="128">
        <f>'Beregn omkostninger'!AZ65</f>
        <v>-7.2285714285714286</v>
      </c>
      <c r="J18" s="128">
        <f>'Beregn omkostninger'!BA65</f>
        <v>-6.5238095238095237</v>
      </c>
      <c r="K18" s="128">
        <f>'Beregn omkostninger'!BB65</f>
        <v>-6.0204081632653059</v>
      </c>
      <c r="L18" s="128">
        <f>'Beregn omkostninger'!BC65</f>
        <v>-5.6428571428571432</v>
      </c>
      <c r="M18" s="128">
        <f>'Beregn omkostninger'!BD65</f>
        <v>-5.3492063492063489</v>
      </c>
      <c r="N18" s="128">
        <f>'Beregn omkostninger'!BE65</f>
        <v>-5.1142857142857139</v>
      </c>
    </row>
    <row r="19" spans="3:14" x14ac:dyDescent="0.2">
      <c r="C19" s="197"/>
      <c r="D19" s="105">
        <f>'Beregn omkostninger'!AU66</f>
        <v>80</v>
      </c>
      <c r="E19" s="128">
        <f>'Beregn omkostninger'!AV66</f>
        <v>-23.0625</v>
      </c>
      <c r="F19" s="128">
        <f>'Beregn omkostninger'!AW66</f>
        <v>-13.03125</v>
      </c>
      <c r="G19" s="128">
        <f>'Beregn omkostninger'!AX66</f>
        <v>-9.6875</v>
      </c>
      <c r="H19" s="128">
        <f>'Beregn omkostninger'!AY66</f>
        <v>-8.015625</v>
      </c>
      <c r="I19" s="128">
        <f>'Beregn omkostninger'!AZ66</f>
        <v>-7.0125000000000002</v>
      </c>
      <c r="J19" s="128">
        <f>'Beregn omkostninger'!BA66</f>
        <v>-6.34375</v>
      </c>
      <c r="K19" s="128">
        <f>'Beregn omkostninger'!BB66</f>
        <v>-5.8660714285714288</v>
      </c>
      <c r="L19" s="128">
        <f>'Beregn omkostninger'!BC66</f>
        <v>-5.5078125</v>
      </c>
      <c r="M19" s="128">
        <f>'Beregn omkostninger'!BD66</f>
        <v>-5.229166666666667</v>
      </c>
      <c r="N19" s="128">
        <f>'Beregn omkostninger'!BE66</f>
        <v>-5.0062499999999996</v>
      </c>
    </row>
    <row r="20" spans="3:14" x14ac:dyDescent="0.2">
      <c r="C20" s="197"/>
      <c r="D20" s="105">
        <f>'Beregn omkostninger'!AU67</f>
        <v>90</v>
      </c>
      <c r="E20" s="128">
        <f>'Beregn omkostninger'!AV67</f>
        <v>-22.222222222222221</v>
      </c>
      <c r="F20" s="128">
        <f>'Beregn omkostninger'!AW67</f>
        <v>-12.611111111111111</v>
      </c>
      <c r="G20" s="128">
        <f>'Beregn omkostninger'!AX67</f>
        <v>-9.4074074074074066</v>
      </c>
      <c r="H20" s="128">
        <f>'Beregn omkostninger'!AY67</f>
        <v>-7.8055555555555554</v>
      </c>
      <c r="I20" s="128">
        <f>'Beregn omkostninger'!AZ67</f>
        <v>-6.8444444444444441</v>
      </c>
      <c r="J20" s="128">
        <f>'Beregn omkostninger'!BA67</f>
        <v>-6.2037037037037033</v>
      </c>
      <c r="K20" s="128">
        <f>'Beregn omkostninger'!BB67</f>
        <v>-5.746031746031746</v>
      </c>
      <c r="L20" s="128">
        <f>'Beregn omkostninger'!BC67</f>
        <v>-5.4027777777777777</v>
      </c>
      <c r="M20" s="128">
        <f>'Beregn omkostninger'!BD67</f>
        <v>-5.1358024691358022</v>
      </c>
      <c r="N20" s="128">
        <f>'Beregn omkostninger'!BE67</f>
        <v>-4.9222222222222225</v>
      </c>
    </row>
    <row r="21" spans="3:14" x14ac:dyDescent="0.2">
      <c r="C21" s="197"/>
      <c r="D21" s="105">
        <f>'Beregn omkostninger'!AU68</f>
        <v>100</v>
      </c>
      <c r="E21" s="128">
        <f>'Beregn omkostninger'!AV68</f>
        <v>-21.55</v>
      </c>
      <c r="F21" s="128">
        <f>'Beregn omkostninger'!AW68</f>
        <v>-12.275</v>
      </c>
      <c r="G21" s="128">
        <f>'Beregn omkostninger'!AX68</f>
        <v>-9.1833333333333336</v>
      </c>
      <c r="H21" s="128">
        <f>'Beregn omkostninger'!AY68</f>
        <v>-7.6375000000000002</v>
      </c>
      <c r="I21" s="128">
        <f>'Beregn omkostninger'!AZ68</f>
        <v>-6.71</v>
      </c>
      <c r="J21" s="128">
        <f>'Beregn omkostninger'!BA68</f>
        <v>-6.0916666666666668</v>
      </c>
      <c r="K21" s="128">
        <f>'Beregn omkostninger'!BB68</f>
        <v>-5.65</v>
      </c>
      <c r="L21" s="128">
        <f>'Beregn omkostninger'!BC68</f>
        <v>-5.3187499999999996</v>
      </c>
      <c r="M21" s="128">
        <f>'Beregn omkostninger'!BD68</f>
        <v>-5.0611111111111109</v>
      </c>
      <c r="N21" s="128">
        <f>'Beregn omkostninger'!BE68</f>
        <v>-4.8550000000000004</v>
      </c>
    </row>
  </sheetData>
  <sheetProtection sheet="1" objects="1" scenarios="1"/>
  <mergeCells count="5">
    <mergeCell ref="C2:N4"/>
    <mergeCell ref="C9:D11"/>
    <mergeCell ref="E11:N11"/>
    <mergeCell ref="E9:N9"/>
    <mergeCell ref="C12:C21"/>
  </mergeCell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8068-CBFB-48E9-AC4B-26A566702672}">
  <sheetPr>
    <pageSetUpPr fitToPage="1"/>
  </sheetPr>
  <dimension ref="A1:P51"/>
  <sheetViews>
    <sheetView showGridLines="0" workbookViewId="0">
      <selection activeCell="F13" sqref="F13"/>
    </sheetView>
  </sheetViews>
  <sheetFormatPr defaultRowHeight="14.25" x14ac:dyDescent="0.2"/>
  <cols>
    <col min="1" max="1" width="3.85546875" style="1" customWidth="1"/>
    <col min="2" max="2" width="58" style="1" customWidth="1"/>
    <col min="3" max="3" width="17.28515625" style="1" customWidth="1"/>
    <col min="4" max="4" width="11.140625" style="1" customWidth="1"/>
    <col min="5" max="5" width="10.5703125" style="1" customWidth="1"/>
    <col min="6" max="6" width="18.42578125" style="1" bestFit="1" customWidth="1"/>
    <col min="7" max="7" width="4.7109375" style="1" customWidth="1"/>
    <col min="8" max="8" width="7.28515625" style="1" customWidth="1"/>
    <col min="9" max="9" width="9.140625" style="1"/>
    <col min="10" max="10" width="14.140625" style="1" bestFit="1" customWidth="1"/>
    <col min="11" max="256" width="9.140625" style="1"/>
    <col min="257" max="257" width="3.85546875" style="1" customWidth="1"/>
    <col min="258" max="258" width="41.7109375" style="1" customWidth="1"/>
    <col min="259" max="259" width="17.28515625" style="1" customWidth="1"/>
    <col min="260" max="260" width="11.140625" style="1" customWidth="1"/>
    <col min="261" max="261" width="10.5703125" style="1" customWidth="1"/>
    <col min="262" max="262" width="18.42578125" style="1" bestFit="1" customWidth="1"/>
    <col min="263" max="263" width="4.7109375" style="1" customWidth="1"/>
    <col min="264" max="264" width="7.28515625" style="1" customWidth="1"/>
    <col min="265" max="265" width="9.140625" style="1"/>
    <col min="266" max="266" width="14.140625" style="1" bestFit="1" customWidth="1"/>
    <col min="267" max="512" width="9.140625" style="1"/>
    <col min="513" max="513" width="3.85546875" style="1" customWidth="1"/>
    <col min="514" max="514" width="41.7109375" style="1" customWidth="1"/>
    <col min="515" max="515" width="17.28515625" style="1" customWidth="1"/>
    <col min="516" max="516" width="11.140625" style="1" customWidth="1"/>
    <col min="517" max="517" width="10.5703125" style="1" customWidth="1"/>
    <col min="518" max="518" width="18.42578125" style="1" bestFit="1" customWidth="1"/>
    <col min="519" max="519" width="4.7109375" style="1" customWidth="1"/>
    <col min="520" max="520" width="7.28515625" style="1" customWidth="1"/>
    <col min="521" max="521" width="9.140625" style="1"/>
    <col min="522" max="522" width="14.140625" style="1" bestFit="1" customWidth="1"/>
    <col min="523" max="768" width="9.140625" style="1"/>
    <col min="769" max="769" width="3.85546875" style="1" customWidth="1"/>
    <col min="770" max="770" width="41.7109375" style="1" customWidth="1"/>
    <col min="771" max="771" width="17.28515625" style="1" customWidth="1"/>
    <col min="772" max="772" width="11.140625" style="1" customWidth="1"/>
    <col min="773" max="773" width="10.5703125" style="1" customWidth="1"/>
    <col min="774" max="774" width="18.42578125" style="1" bestFit="1" customWidth="1"/>
    <col min="775" max="775" width="4.7109375" style="1" customWidth="1"/>
    <col min="776" max="776" width="7.28515625" style="1" customWidth="1"/>
    <col min="777" max="777" width="9.140625" style="1"/>
    <col min="778" max="778" width="14.140625" style="1" bestFit="1" customWidth="1"/>
    <col min="779" max="1024" width="9.140625" style="1"/>
    <col min="1025" max="1025" width="3.85546875" style="1" customWidth="1"/>
    <col min="1026" max="1026" width="41.7109375" style="1" customWidth="1"/>
    <col min="1027" max="1027" width="17.28515625" style="1" customWidth="1"/>
    <col min="1028" max="1028" width="11.140625" style="1" customWidth="1"/>
    <col min="1029" max="1029" width="10.5703125" style="1" customWidth="1"/>
    <col min="1030" max="1030" width="18.42578125" style="1" bestFit="1" customWidth="1"/>
    <col min="1031" max="1031" width="4.7109375" style="1" customWidth="1"/>
    <col min="1032" max="1032" width="7.28515625" style="1" customWidth="1"/>
    <col min="1033" max="1033" width="9.140625" style="1"/>
    <col min="1034" max="1034" width="14.140625" style="1" bestFit="1" customWidth="1"/>
    <col min="1035" max="1280" width="9.140625" style="1"/>
    <col min="1281" max="1281" width="3.85546875" style="1" customWidth="1"/>
    <col min="1282" max="1282" width="41.7109375" style="1" customWidth="1"/>
    <col min="1283" max="1283" width="17.28515625" style="1" customWidth="1"/>
    <col min="1284" max="1284" width="11.140625" style="1" customWidth="1"/>
    <col min="1285" max="1285" width="10.5703125" style="1" customWidth="1"/>
    <col min="1286" max="1286" width="18.42578125" style="1" bestFit="1" customWidth="1"/>
    <col min="1287" max="1287" width="4.7109375" style="1" customWidth="1"/>
    <col min="1288" max="1288" width="7.28515625" style="1" customWidth="1"/>
    <col min="1289" max="1289" width="9.140625" style="1"/>
    <col min="1290" max="1290" width="14.140625" style="1" bestFit="1" customWidth="1"/>
    <col min="1291" max="1536" width="9.140625" style="1"/>
    <col min="1537" max="1537" width="3.85546875" style="1" customWidth="1"/>
    <col min="1538" max="1538" width="41.7109375" style="1" customWidth="1"/>
    <col min="1539" max="1539" width="17.28515625" style="1" customWidth="1"/>
    <col min="1540" max="1540" width="11.140625" style="1" customWidth="1"/>
    <col min="1541" max="1541" width="10.5703125" style="1" customWidth="1"/>
    <col min="1542" max="1542" width="18.42578125" style="1" bestFit="1" customWidth="1"/>
    <col min="1543" max="1543" width="4.7109375" style="1" customWidth="1"/>
    <col min="1544" max="1544" width="7.28515625" style="1" customWidth="1"/>
    <col min="1545" max="1545" width="9.140625" style="1"/>
    <col min="1546" max="1546" width="14.140625" style="1" bestFit="1" customWidth="1"/>
    <col min="1547" max="1792" width="9.140625" style="1"/>
    <col min="1793" max="1793" width="3.85546875" style="1" customWidth="1"/>
    <col min="1794" max="1794" width="41.7109375" style="1" customWidth="1"/>
    <col min="1795" max="1795" width="17.28515625" style="1" customWidth="1"/>
    <col min="1796" max="1796" width="11.140625" style="1" customWidth="1"/>
    <col min="1797" max="1797" width="10.5703125" style="1" customWidth="1"/>
    <col min="1798" max="1798" width="18.42578125" style="1" bestFit="1" customWidth="1"/>
    <col min="1799" max="1799" width="4.7109375" style="1" customWidth="1"/>
    <col min="1800" max="1800" width="7.28515625" style="1" customWidth="1"/>
    <col min="1801" max="1801" width="9.140625" style="1"/>
    <col min="1802" max="1802" width="14.140625" style="1" bestFit="1" customWidth="1"/>
    <col min="1803" max="2048" width="9.140625" style="1"/>
    <col min="2049" max="2049" width="3.85546875" style="1" customWidth="1"/>
    <col min="2050" max="2050" width="41.7109375" style="1" customWidth="1"/>
    <col min="2051" max="2051" width="17.28515625" style="1" customWidth="1"/>
    <col min="2052" max="2052" width="11.140625" style="1" customWidth="1"/>
    <col min="2053" max="2053" width="10.5703125" style="1" customWidth="1"/>
    <col min="2054" max="2054" width="18.42578125" style="1" bestFit="1" customWidth="1"/>
    <col min="2055" max="2055" width="4.7109375" style="1" customWidth="1"/>
    <col min="2056" max="2056" width="7.28515625" style="1" customWidth="1"/>
    <col min="2057" max="2057" width="9.140625" style="1"/>
    <col min="2058" max="2058" width="14.140625" style="1" bestFit="1" customWidth="1"/>
    <col min="2059" max="2304" width="9.140625" style="1"/>
    <col min="2305" max="2305" width="3.85546875" style="1" customWidth="1"/>
    <col min="2306" max="2306" width="41.7109375" style="1" customWidth="1"/>
    <col min="2307" max="2307" width="17.28515625" style="1" customWidth="1"/>
    <col min="2308" max="2308" width="11.140625" style="1" customWidth="1"/>
    <col min="2309" max="2309" width="10.5703125" style="1" customWidth="1"/>
    <col min="2310" max="2310" width="18.42578125" style="1" bestFit="1" customWidth="1"/>
    <col min="2311" max="2311" width="4.7109375" style="1" customWidth="1"/>
    <col min="2312" max="2312" width="7.28515625" style="1" customWidth="1"/>
    <col min="2313" max="2313" width="9.140625" style="1"/>
    <col min="2314" max="2314" width="14.140625" style="1" bestFit="1" customWidth="1"/>
    <col min="2315" max="2560" width="9.140625" style="1"/>
    <col min="2561" max="2561" width="3.85546875" style="1" customWidth="1"/>
    <col min="2562" max="2562" width="41.7109375" style="1" customWidth="1"/>
    <col min="2563" max="2563" width="17.28515625" style="1" customWidth="1"/>
    <col min="2564" max="2564" width="11.140625" style="1" customWidth="1"/>
    <col min="2565" max="2565" width="10.5703125" style="1" customWidth="1"/>
    <col min="2566" max="2566" width="18.42578125" style="1" bestFit="1" customWidth="1"/>
    <col min="2567" max="2567" width="4.7109375" style="1" customWidth="1"/>
    <col min="2568" max="2568" width="7.28515625" style="1" customWidth="1"/>
    <col min="2569" max="2569" width="9.140625" style="1"/>
    <col min="2570" max="2570" width="14.140625" style="1" bestFit="1" customWidth="1"/>
    <col min="2571" max="2816" width="9.140625" style="1"/>
    <col min="2817" max="2817" width="3.85546875" style="1" customWidth="1"/>
    <col min="2818" max="2818" width="41.7109375" style="1" customWidth="1"/>
    <col min="2819" max="2819" width="17.28515625" style="1" customWidth="1"/>
    <col min="2820" max="2820" width="11.140625" style="1" customWidth="1"/>
    <col min="2821" max="2821" width="10.5703125" style="1" customWidth="1"/>
    <col min="2822" max="2822" width="18.42578125" style="1" bestFit="1" customWidth="1"/>
    <col min="2823" max="2823" width="4.7109375" style="1" customWidth="1"/>
    <col min="2824" max="2824" width="7.28515625" style="1" customWidth="1"/>
    <col min="2825" max="2825" width="9.140625" style="1"/>
    <col min="2826" max="2826" width="14.140625" style="1" bestFit="1" customWidth="1"/>
    <col min="2827" max="3072" width="9.140625" style="1"/>
    <col min="3073" max="3073" width="3.85546875" style="1" customWidth="1"/>
    <col min="3074" max="3074" width="41.7109375" style="1" customWidth="1"/>
    <col min="3075" max="3075" width="17.28515625" style="1" customWidth="1"/>
    <col min="3076" max="3076" width="11.140625" style="1" customWidth="1"/>
    <col min="3077" max="3077" width="10.5703125" style="1" customWidth="1"/>
    <col min="3078" max="3078" width="18.42578125" style="1" bestFit="1" customWidth="1"/>
    <col min="3079" max="3079" width="4.7109375" style="1" customWidth="1"/>
    <col min="3080" max="3080" width="7.28515625" style="1" customWidth="1"/>
    <col min="3081" max="3081" width="9.140625" style="1"/>
    <col min="3082" max="3082" width="14.140625" style="1" bestFit="1" customWidth="1"/>
    <col min="3083" max="3328" width="9.140625" style="1"/>
    <col min="3329" max="3329" width="3.85546875" style="1" customWidth="1"/>
    <col min="3330" max="3330" width="41.7109375" style="1" customWidth="1"/>
    <col min="3331" max="3331" width="17.28515625" style="1" customWidth="1"/>
    <col min="3332" max="3332" width="11.140625" style="1" customWidth="1"/>
    <col min="3333" max="3333" width="10.5703125" style="1" customWidth="1"/>
    <col min="3334" max="3334" width="18.42578125" style="1" bestFit="1" customWidth="1"/>
    <col min="3335" max="3335" width="4.7109375" style="1" customWidth="1"/>
    <col min="3336" max="3336" width="7.28515625" style="1" customWidth="1"/>
    <col min="3337" max="3337" width="9.140625" style="1"/>
    <col min="3338" max="3338" width="14.140625" style="1" bestFit="1" customWidth="1"/>
    <col min="3339" max="3584" width="9.140625" style="1"/>
    <col min="3585" max="3585" width="3.85546875" style="1" customWidth="1"/>
    <col min="3586" max="3586" width="41.7109375" style="1" customWidth="1"/>
    <col min="3587" max="3587" width="17.28515625" style="1" customWidth="1"/>
    <col min="3588" max="3588" width="11.140625" style="1" customWidth="1"/>
    <col min="3589" max="3589" width="10.5703125" style="1" customWidth="1"/>
    <col min="3590" max="3590" width="18.42578125" style="1" bestFit="1" customWidth="1"/>
    <col min="3591" max="3591" width="4.7109375" style="1" customWidth="1"/>
    <col min="3592" max="3592" width="7.28515625" style="1" customWidth="1"/>
    <col min="3593" max="3593" width="9.140625" style="1"/>
    <col min="3594" max="3594" width="14.140625" style="1" bestFit="1" customWidth="1"/>
    <col min="3595" max="3840" width="9.140625" style="1"/>
    <col min="3841" max="3841" width="3.85546875" style="1" customWidth="1"/>
    <col min="3842" max="3842" width="41.7109375" style="1" customWidth="1"/>
    <col min="3843" max="3843" width="17.28515625" style="1" customWidth="1"/>
    <col min="3844" max="3844" width="11.140625" style="1" customWidth="1"/>
    <col min="3845" max="3845" width="10.5703125" style="1" customWidth="1"/>
    <col min="3846" max="3846" width="18.42578125" style="1" bestFit="1" customWidth="1"/>
    <col min="3847" max="3847" width="4.7109375" style="1" customWidth="1"/>
    <col min="3848" max="3848" width="7.28515625" style="1" customWidth="1"/>
    <col min="3849" max="3849" width="9.140625" style="1"/>
    <col min="3850" max="3850" width="14.140625" style="1" bestFit="1" customWidth="1"/>
    <col min="3851" max="4096" width="9.140625" style="1"/>
    <col min="4097" max="4097" width="3.85546875" style="1" customWidth="1"/>
    <col min="4098" max="4098" width="41.7109375" style="1" customWidth="1"/>
    <col min="4099" max="4099" width="17.28515625" style="1" customWidth="1"/>
    <col min="4100" max="4100" width="11.140625" style="1" customWidth="1"/>
    <col min="4101" max="4101" width="10.5703125" style="1" customWidth="1"/>
    <col min="4102" max="4102" width="18.42578125" style="1" bestFit="1" customWidth="1"/>
    <col min="4103" max="4103" width="4.7109375" style="1" customWidth="1"/>
    <col min="4104" max="4104" width="7.28515625" style="1" customWidth="1"/>
    <col min="4105" max="4105" width="9.140625" style="1"/>
    <col min="4106" max="4106" width="14.140625" style="1" bestFit="1" customWidth="1"/>
    <col min="4107" max="4352" width="9.140625" style="1"/>
    <col min="4353" max="4353" width="3.85546875" style="1" customWidth="1"/>
    <col min="4354" max="4354" width="41.7109375" style="1" customWidth="1"/>
    <col min="4355" max="4355" width="17.28515625" style="1" customWidth="1"/>
    <col min="4356" max="4356" width="11.140625" style="1" customWidth="1"/>
    <col min="4357" max="4357" width="10.5703125" style="1" customWidth="1"/>
    <col min="4358" max="4358" width="18.42578125" style="1" bestFit="1" customWidth="1"/>
    <col min="4359" max="4359" width="4.7109375" style="1" customWidth="1"/>
    <col min="4360" max="4360" width="7.28515625" style="1" customWidth="1"/>
    <col min="4361" max="4361" width="9.140625" style="1"/>
    <col min="4362" max="4362" width="14.140625" style="1" bestFit="1" customWidth="1"/>
    <col min="4363" max="4608" width="9.140625" style="1"/>
    <col min="4609" max="4609" width="3.85546875" style="1" customWidth="1"/>
    <col min="4610" max="4610" width="41.7109375" style="1" customWidth="1"/>
    <col min="4611" max="4611" width="17.28515625" style="1" customWidth="1"/>
    <col min="4612" max="4612" width="11.140625" style="1" customWidth="1"/>
    <col min="4613" max="4613" width="10.5703125" style="1" customWidth="1"/>
    <col min="4614" max="4614" width="18.42578125" style="1" bestFit="1" customWidth="1"/>
    <col min="4615" max="4615" width="4.7109375" style="1" customWidth="1"/>
    <col min="4616" max="4616" width="7.28515625" style="1" customWidth="1"/>
    <col min="4617" max="4617" width="9.140625" style="1"/>
    <col min="4618" max="4618" width="14.140625" style="1" bestFit="1" customWidth="1"/>
    <col min="4619" max="4864" width="9.140625" style="1"/>
    <col min="4865" max="4865" width="3.85546875" style="1" customWidth="1"/>
    <col min="4866" max="4866" width="41.7109375" style="1" customWidth="1"/>
    <col min="4867" max="4867" width="17.28515625" style="1" customWidth="1"/>
    <col min="4868" max="4868" width="11.140625" style="1" customWidth="1"/>
    <col min="4869" max="4869" width="10.5703125" style="1" customWidth="1"/>
    <col min="4870" max="4870" width="18.42578125" style="1" bestFit="1" customWidth="1"/>
    <col min="4871" max="4871" width="4.7109375" style="1" customWidth="1"/>
    <col min="4872" max="4872" width="7.28515625" style="1" customWidth="1"/>
    <col min="4873" max="4873" width="9.140625" style="1"/>
    <col min="4874" max="4874" width="14.140625" style="1" bestFit="1" customWidth="1"/>
    <col min="4875" max="5120" width="9.140625" style="1"/>
    <col min="5121" max="5121" width="3.85546875" style="1" customWidth="1"/>
    <col min="5122" max="5122" width="41.7109375" style="1" customWidth="1"/>
    <col min="5123" max="5123" width="17.28515625" style="1" customWidth="1"/>
    <col min="5124" max="5124" width="11.140625" style="1" customWidth="1"/>
    <col min="5125" max="5125" width="10.5703125" style="1" customWidth="1"/>
    <col min="5126" max="5126" width="18.42578125" style="1" bestFit="1" customWidth="1"/>
    <col min="5127" max="5127" width="4.7109375" style="1" customWidth="1"/>
    <col min="5128" max="5128" width="7.28515625" style="1" customWidth="1"/>
    <col min="5129" max="5129" width="9.140625" style="1"/>
    <col min="5130" max="5130" width="14.140625" style="1" bestFit="1" customWidth="1"/>
    <col min="5131" max="5376" width="9.140625" style="1"/>
    <col min="5377" max="5377" width="3.85546875" style="1" customWidth="1"/>
    <col min="5378" max="5378" width="41.7109375" style="1" customWidth="1"/>
    <col min="5379" max="5379" width="17.28515625" style="1" customWidth="1"/>
    <col min="5380" max="5380" width="11.140625" style="1" customWidth="1"/>
    <col min="5381" max="5381" width="10.5703125" style="1" customWidth="1"/>
    <col min="5382" max="5382" width="18.42578125" style="1" bestFit="1" customWidth="1"/>
    <col min="5383" max="5383" width="4.7109375" style="1" customWidth="1"/>
    <col min="5384" max="5384" width="7.28515625" style="1" customWidth="1"/>
    <col min="5385" max="5385" width="9.140625" style="1"/>
    <col min="5386" max="5386" width="14.140625" style="1" bestFit="1" customWidth="1"/>
    <col min="5387" max="5632" width="9.140625" style="1"/>
    <col min="5633" max="5633" width="3.85546875" style="1" customWidth="1"/>
    <col min="5634" max="5634" width="41.7109375" style="1" customWidth="1"/>
    <col min="5635" max="5635" width="17.28515625" style="1" customWidth="1"/>
    <col min="5636" max="5636" width="11.140625" style="1" customWidth="1"/>
    <col min="5637" max="5637" width="10.5703125" style="1" customWidth="1"/>
    <col min="5638" max="5638" width="18.42578125" style="1" bestFit="1" customWidth="1"/>
    <col min="5639" max="5639" width="4.7109375" style="1" customWidth="1"/>
    <col min="5640" max="5640" width="7.28515625" style="1" customWidth="1"/>
    <col min="5641" max="5641" width="9.140625" style="1"/>
    <col min="5642" max="5642" width="14.140625" style="1" bestFit="1" customWidth="1"/>
    <col min="5643" max="5888" width="9.140625" style="1"/>
    <col min="5889" max="5889" width="3.85546875" style="1" customWidth="1"/>
    <col min="5890" max="5890" width="41.7109375" style="1" customWidth="1"/>
    <col min="5891" max="5891" width="17.28515625" style="1" customWidth="1"/>
    <col min="5892" max="5892" width="11.140625" style="1" customWidth="1"/>
    <col min="5893" max="5893" width="10.5703125" style="1" customWidth="1"/>
    <col min="5894" max="5894" width="18.42578125" style="1" bestFit="1" customWidth="1"/>
    <col min="5895" max="5895" width="4.7109375" style="1" customWidth="1"/>
    <col min="5896" max="5896" width="7.28515625" style="1" customWidth="1"/>
    <col min="5897" max="5897" width="9.140625" style="1"/>
    <col min="5898" max="5898" width="14.140625" style="1" bestFit="1" customWidth="1"/>
    <col min="5899" max="6144" width="9.140625" style="1"/>
    <col min="6145" max="6145" width="3.85546875" style="1" customWidth="1"/>
    <col min="6146" max="6146" width="41.7109375" style="1" customWidth="1"/>
    <col min="6147" max="6147" width="17.28515625" style="1" customWidth="1"/>
    <col min="6148" max="6148" width="11.140625" style="1" customWidth="1"/>
    <col min="6149" max="6149" width="10.5703125" style="1" customWidth="1"/>
    <col min="6150" max="6150" width="18.42578125" style="1" bestFit="1" customWidth="1"/>
    <col min="6151" max="6151" width="4.7109375" style="1" customWidth="1"/>
    <col min="6152" max="6152" width="7.28515625" style="1" customWidth="1"/>
    <col min="6153" max="6153" width="9.140625" style="1"/>
    <col min="6154" max="6154" width="14.140625" style="1" bestFit="1" customWidth="1"/>
    <col min="6155" max="6400" width="9.140625" style="1"/>
    <col min="6401" max="6401" width="3.85546875" style="1" customWidth="1"/>
    <col min="6402" max="6402" width="41.7109375" style="1" customWidth="1"/>
    <col min="6403" max="6403" width="17.28515625" style="1" customWidth="1"/>
    <col min="6404" max="6404" width="11.140625" style="1" customWidth="1"/>
    <col min="6405" max="6405" width="10.5703125" style="1" customWidth="1"/>
    <col min="6406" max="6406" width="18.42578125" style="1" bestFit="1" customWidth="1"/>
    <col min="6407" max="6407" width="4.7109375" style="1" customWidth="1"/>
    <col min="6408" max="6408" width="7.28515625" style="1" customWidth="1"/>
    <col min="6409" max="6409" width="9.140625" style="1"/>
    <col min="6410" max="6410" width="14.140625" style="1" bestFit="1" customWidth="1"/>
    <col min="6411" max="6656" width="9.140625" style="1"/>
    <col min="6657" max="6657" width="3.85546875" style="1" customWidth="1"/>
    <col min="6658" max="6658" width="41.7109375" style="1" customWidth="1"/>
    <col min="6659" max="6659" width="17.28515625" style="1" customWidth="1"/>
    <col min="6660" max="6660" width="11.140625" style="1" customWidth="1"/>
    <col min="6661" max="6661" width="10.5703125" style="1" customWidth="1"/>
    <col min="6662" max="6662" width="18.42578125" style="1" bestFit="1" customWidth="1"/>
    <col min="6663" max="6663" width="4.7109375" style="1" customWidth="1"/>
    <col min="6664" max="6664" width="7.28515625" style="1" customWidth="1"/>
    <col min="6665" max="6665" width="9.140625" style="1"/>
    <col min="6666" max="6666" width="14.140625" style="1" bestFit="1" customWidth="1"/>
    <col min="6667" max="6912" width="9.140625" style="1"/>
    <col min="6913" max="6913" width="3.85546875" style="1" customWidth="1"/>
    <col min="6914" max="6914" width="41.7109375" style="1" customWidth="1"/>
    <col min="6915" max="6915" width="17.28515625" style="1" customWidth="1"/>
    <col min="6916" max="6916" width="11.140625" style="1" customWidth="1"/>
    <col min="6917" max="6917" width="10.5703125" style="1" customWidth="1"/>
    <col min="6918" max="6918" width="18.42578125" style="1" bestFit="1" customWidth="1"/>
    <col min="6919" max="6919" width="4.7109375" style="1" customWidth="1"/>
    <col min="6920" max="6920" width="7.28515625" style="1" customWidth="1"/>
    <col min="6921" max="6921" width="9.140625" style="1"/>
    <col min="6922" max="6922" width="14.140625" style="1" bestFit="1" customWidth="1"/>
    <col min="6923" max="7168" width="9.140625" style="1"/>
    <col min="7169" max="7169" width="3.85546875" style="1" customWidth="1"/>
    <col min="7170" max="7170" width="41.7109375" style="1" customWidth="1"/>
    <col min="7171" max="7171" width="17.28515625" style="1" customWidth="1"/>
    <col min="7172" max="7172" width="11.140625" style="1" customWidth="1"/>
    <col min="7173" max="7173" width="10.5703125" style="1" customWidth="1"/>
    <col min="7174" max="7174" width="18.42578125" style="1" bestFit="1" customWidth="1"/>
    <col min="7175" max="7175" width="4.7109375" style="1" customWidth="1"/>
    <col min="7176" max="7176" width="7.28515625" style="1" customWidth="1"/>
    <col min="7177" max="7177" width="9.140625" style="1"/>
    <col min="7178" max="7178" width="14.140625" style="1" bestFit="1" customWidth="1"/>
    <col min="7179" max="7424" width="9.140625" style="1"/>
    <col min="7425" max="7425" width="3.85546875" style="1" customWidth="1"/>
    <col min="7426" max="7426" width="41.7109375" style="1" customWidth="1"/>
    <col min="7427" max="7427" width="17.28515625" style="1" customWidth="1"/>
    <col min="7428" max="7428" width="11.140625" style="1" customWidth="1"/>
    <col min="7429" max="7429" width="10.5703125" style="1" customWidth="1"/>
    <col min="7430" max="7430" width="18.42578125" style="1" bestFit="1" customWidth="1"/>
    <col min="7431" max="7431" width="4.7109375" style="1" customWidth="1"/>
    <col min="7432" max="7432" width="7.28515625" style="1" customWidth="1"/>
    <col min="7433" max="7433" width="9.140625" style="1"/>
    <col min="7434" max="7434" width="14.140625" style="1" bestFit="1" customWidth="1"/>
    <col min="7435" max="7680" width="9.140625" style="1"/>
    <col min="7681" max="7681" width="3.85546875" style="1" customWidth="1"/>
    <col min="7682" max="7682" width="41.7109375" style="1" customWidth="1"/>
    <col min="7683" max="7683" width="17.28515625" style="1" customWidth="1"/>
    <col min="7684" max="7684" width="11.140625" style="1" customWidth="1"/>
    <col min="7685" max="7685" width="10.5703125" style="1" customWidth="1"/>
    <col min="7686" max="7686" width="18.42578125" style="1" bestFit="1" customWidth="1"/>
    <col min="7687" max="7687" width="4.7109375" style="1" customWidth="1"/>
    <col min="7688" max="7688" width="7.28515625" style="1" customWidth="1"/>
    <col min="7689" max="7689" width="9.140625" style="1"/>
    <col min="7690" max="7690" width="14.140625" style="1" bestFit="1" customWidth="1"/>
    <col min="7691" max="7936" width="9.140625" style="1"/>
    <col min="7937" max="7937" width="3.85546875" style="1" customWidth="1"/>
    <col min="7938" max="7938" width="41.7109375" style="1" customWidth="1"/>
    <col min="7939" max="7939" width="17.28515625" style="1" customWidth="1"/>
    <col min="7940" max="7940" width="11.140625" style="1" customWidth="1"/>
    <col min="7941" max="7941" width="10.5703125" style="1" customWidth="1"/>
    <col min="7942" max="7942" width="18.42578125" style="1" bestFit="1" customWidth="1"/>
    <col min="7943" max="7943" width="4.7109375" style="1" customWidth="1"/>
    <col min="7944" max="7944" width="7.28515625" style="1" customWidth="1"/>
    <col min="7945" max="7945" width="9.140625" style="1"/>
    <col min="7946" max="7946" width="14.140625" style="1" bestFit="1" customWidth="1"/>
    <col min="7947" max="8192" width="9.140625" style="1"/>
    <col min="8193" max="8193" width="3.85546875" style="1" customWidth="1"/>
    <col min="8194" max="8194" width="41.7109375" style="1" customWidth="1"/>
    <col min="8195" max="8195" width="17.28515625" style="1" customWidth="1"/>
    <col min="8196" max="8196" width="11.140625" style="1" customWidth="1"/>
    <col min="8197" max="8197" width="10.5703125" style="1" customWidth="1"/>
    <col min="8198" max="8198" width="18.42578125" style="1" bestFit="1" customWidth="1"/>
    <col min="8199" max="8199" width="4.7109375" style="1" customWidth="1"/>
    <col min="8200" max="8200" width="7.28515625" style="1" customWidth="1"/>
    <col min="8201" max="8201" width="9.140625" style="1"/>
    <col min="8202" max="8202" width="14.140625" style="1" bestFit="1" customWidth="1"/>
    <col min="8203" max="8448" width="9.140625" style="1"/>
    <col min="8449" max="8449" width="3.85546875" style="1" customWidth="1"/>
    <col min="8450" max="8450" width="41.7109375" style="1" customWidth="1"/>
    <col min="8451" max="8451" width="17.28515625" style="1" customWidth="1"/>
    <col min="8452" max="8452" width="11.140625" style="1" customWidth="1"/>
    <col min="8453" max="8453" width="10.5703125" style="1" customWidth="1"/>
    <col min="8454" max="8454" width="18.42578125" style="1" bestFit="1" customWidth="1"/>
    <col min="8455" max="8455" width="4.7109375" style="1" customWidth="1"/>
    <col min="8456" max="8456" width="7.28515625" style="1" customWidth="1"/>
    <col min="8457" max="8457" width="9.140625" style="1"/>
    <col min="8458" max="8458" width="14.140625" style="1" bestFit="1" customWidth="1"/>
    <col min="8459" max="8704" width="9.140625" style="1"/>
    <col min="8705" max="8705" width="3.85546875" style="1" customWidth="1"/>
    <col min="8706" max="8706" width="41.7109375" style="1" customWidth="1"/>
    <col min="8707" max="8707" width="17.28515625" style="1" customWidth="1"/>
    <col min="8708" max="8708" width="11.140625" style="1" customWidth="1"/>
    <col min="8709" max="8709" width="10.5703125" style="1" customWidth="1"/>
    <col min="8710" max="8710" width="18.42578125" style="1" bestFit="1" customWidth="1"/>
    <col min="8711" max="8711" width="4.7109375" style="1" customWidth="1"/>
    <col min="8712" max="8712" width="7.28515625" style="1" customWidth="1"/>
    <col min="8713" max="8713" width="9.140625" style="1"/>
    <col min="8714" max="8714" width="14.140625" style="1" bestFit="1" customWidth="1"/>
    <col min="8715" max="8960" width="9.140625" style="1"/>
    <col min="8961" max="8961" width="3.85546875" style="1" customWidth="1"/>
    <col min="8962" max="8962" width="41.7109375" style="1" customWidth="1"/>
    <col min="8963" max="8963" width="17.28515625" style="1" customWidth="1"/>
    <col min="8964" max="8964" width="11.140625" style="1" customWidth="1"/>
    <col min="8965" max="8965" width="10.5703125" style="1" customWidth="1"/>
    <col min="8966" max="8966" width="18.42578125" style="1" bestFit="1" customWidth="1"/>
    <col min="8967" max="8967" width="4.7109375" style="1" customWidth="1"/>
    <col min="8968" max="8968" width="7.28515625" style="1" customWidth="1"/>
    <col min="8969" max="8969" width="9.140625" style="1"/>
    <col min="8970" max="8970" width="14.140625" style="1" bestFit="1" customWidth="1"/>
    <col min="8971" max="9216" width="9.140625" style="1"/>
    <col min="9217" max="9217" width="3.85546875" style="1" customWidth="1"/>
    <col min="9218" max="9218" width="41.7109375" style="1" customWidth="1"/>
    <col min="9219" max="9219" width="17.28515625" style="1" customWidth="1"/>
    <col min="9220" max="9220" width="11.140625" style="1" customWidth="1"/>
    <col min="9221" max="9221" width="10.5703125" style="1" customWidth="1"/>
    <col min="9222" max="9222" width="18.42578125" style="1" bestFit="1" customWidth="1"/>
    <col min="9223" max="9223" width="4.7109375" style="1" customWidth="1"/>
    <col min="9224" max="9224" width="7.28515625" style="1" customWidth="1"/>
    <col min="9225" max="9225" width="9.140625" style="1"/>
    <col min="9226" max="9226" width="14.140625" style="1" bestFit="1" customWidth="1"/>
    <col min="9227" max="9472" width="9.140625" style="1"/>
    <col min="9473" max="9473" width="3.85546875" style="1" customWidth="1"/>
    <col min="9474" max="9474" width="41.7109375" style="1" customWidth="1"/>
    <col min="9475" max="9475" width="17.28515625" style="1" customWidth="1"/>
    <col min="9476" max="9476" width="11.140625" style="1" customWidth="1"/>
    <col min="9477" max="9477" width="10.5703125" style="1" customWidth="1"/>
    <col min="9478" max="9478" width="18.42578125" style="1" bestFit="1" customWidth="1"/>
    <col min="9479" max="9479" width="4.7109375" style="1" customWidth="1"/>
    <col min="9480" max="9480" width="7.28515625" style="1" customWidth="1"/>
    <col min="9481" max="9481" width="9.140625" style="1"/>
    <col min="9482" max="9482" width="14.140625" style="1" bestFit="1" customWidth="1"/>
    <col min="9483" max="9728" width="9.140625" style="1"/>
    <col min="9729" max="9729" width="3.85546875" style="1" customWidth="1"/>
    <col min="9730" max="9730" width="41.7109375" style="1" customWidth="1"/>
    <col min="9731" max="9731" width="17.28515625" style="1" customWidth="1"/>
    <col min="9732" max="9732" width="11.140625" style="1" customWidth="1"/>
    <col min="9733" max="9733" width="10.5703125" style="1" customWidth="1"/>
    <col min="9734" max="9734" width="18.42578125" style="1" bestFit="1" customWidth="1"/>
    <col min="9735" max="9735" width="4.7109375" style="1" customWidth="1"/>
    <col min="9736" max="9736" width="7.28515625" style="1" customWidth="1"/>
    <col min="9737" max="9737" width="9.140625" style="1"/>
    <col min="9738" max="9738" width="14.140625" style="1" bestFit="1" customWidth="1"/>
    <col min="9739" max="9984" width="9.140625" style="1"/>
    <col min="9985" max="9985" width="3.85546875" style="1" customWidth="1"/>
    <col min="9986" max="9986" width="41.7109375" style="1" customWidth="1"/>
    <col min="9987" max="9987" width="17.28515625" style="1" customWidth="1"/>
    <col min="9988" max="9988" width="11.140625" style="1" customWidth="1"/>
    <col min="9989" max="9989" width="10.5703125" style="1" customWidth="1"/>
    <col min="9990" max="9990" width="18.42578125" style="1" bestFit="1" customWidth="1"/>
    <col min="9991" max="9991" width="4.7109375" style="1" customWidth="1"/>
    <col min="9992" max="9992" width="7.28515625" style="1" customWidth="1"/>
    <col min="9993" max="9993" width="9.140625" style="1"/>
    <col min="9994" max="9994" width="14.140625" style="1" bestFit="1" customWidth="1"/>
    <col min="9995" max="10240" width="9.140625" style="1"/>
    <col min="10241" max="10241" width="3.85546875" style="1" customWidth="1"/>
    <col min="10242" max="10242" width="41.7109375" style="1" customWidth="1"/>
    <col min="10243" max="10243" width="17.28515625" style="1" customWidth="1"/>
    <col min="10244" max="10244" width="11.140625" style="1" customWidth="1"/>
    <col min="10245" max="10245" width="10.5703125" style="1" customWidth="1"/>
    <col min="10246" max="10246" width="18.42578125" style="1" bestFit="1" customWidth="1"/>
    <col min="10247" max="10247" width="4.7109375" style="1" customWidth="1"/>
    <col min="10248" max="10248" width="7.28515625" style="1" customWidth="1"/>
    <col min="10249" max="10249" width="9.140625" style="1"/>
    <col min="10250" max="10250" width="14.140625" style="1" bestFit="1" customWidth="1"/>
    <col min="10251" max="10496" width="9.140625" style="1"/>
    <col min="10497" max="10497" width="3.85546875" style="1" customWidth="1"/>
    <col min="10498" max="10498" width="41.7109375" style="1" customWidth="1"/>
    <col min="10499" max="10499" width="17.28515625" style="1" customWidth="1"/>
    <col min="10500" max="10500" width="11.140625" style="1" customWidth="1"/>
    <col min="10501" max="10501" width="10.5703125" style="1" customWidth="1"/>
    <col min="10502" max="10502" width="18.42578125" style="1" bestFit="1" customWidth="1"/>
    <col min="10503" max="10503" width="4.7109375" style="1" customWidth="1"/>
    <col min="10504" max="10504" width="7.28515625" style="1" customWidth="1"/>
    <col min="10505" max="10505" width="9.140625" style="1"/>
    <col min="10506" max="10506" width="14.140625" style="1" bestFit="1" customWidth="1"/>
    <col min="10507" max="10752" width="9.140625" style="1"/>
    <col min="10753" max="10753" width="3.85546875" style="1" customWidth="1"/>
    <col min="10754" max="10754" width="41.7109375" style="1" customWidth="1"/>
    <col min="10755" max="10755" width="17.28515625" style="1" customWidth="1"/>
    <col min="10756" max="10756" width="11.140625" style="1" customWidth="1"/>
    <col min="10757" max="10757" width="10.5703125" style="1" customWidth="1"/>
    <col min="10758" max="10758" width="18.42578125" style="1" bestFit="1" customWidth="1"/>
    <col min="10759" max="10759" width="4.7109375" style="1" customWidth="1"/>
    <col min="10760" max="10760" width="7.28515625" style="1" customWidth="1"/>
    <col min="10761" max="10761" width="9.140625" style="1"/>
    <col min="10762" max="10762" width="14.140625" style="1" bestFit="1" customWidth="1"/>
    <col min="10763" max="11008" width="9.140625" style="1"/>
    <col min="11009" max="11009" width="3.85546875" style="1" customWidth="1"/>
    <col min="11010" max="11010" width="41.7109375" style="1" customWidth="1"/>
    <col min="11011" max="11011" width="17.28515625" style="1" customWidth="1"/>
    <col min="11012" max="11012" width="11.140625" style="1" customWidth="1"/>
    <col min="11013" max="11013" width="10.5703125" style="1" customWidth="1"/>
    <col min="11014" max="11014" width="18.42578125" style="1" bestFit="1" customWidth="1"/>
    <col min="11015" max="11015" width="4.7109375" style="1" customWidth="1"/>
    <col min="11016" max="11016" width="7.28515625" style="1" customWidth="1"/>
    <col min="11017" max="11017" width="9.140625" style="1"/>
    <col min="11018" max="11018" width="14.140625" style="1" bestFit="1" customWidth="1"/>
    <col min="11019" max="11264" width="9.140625" style="1"/>
    <col min="11265" max="11265" width="3.85546875" style="1" customWidth="1"/>
    <col min="11266" max="11266" width="41.7109375" style="1" customWidth="1"/>
    <col min="11267" max="11267" width="17.28515625" style="1" customWidth="1"/>
    <col min="11268" max="11268" width="11.140625" style="1" customWidth="1"/>
    <col min="11269" max="11269" width="10.5703125" style="1" customWidth="1"/>
    <col min="11270" max="11270" width="18.42578125" style="1" bestFit="1" customWidth="1"/>
    <col min="11271" max="11271" width="4.7109375" style="1" customWidth="1"/>
    <col min="11272" max="11272" width="7.28515625" style="1" customWidth="1"/>
    <col min="11273" max="11273" width="9.140625" style="1"/>
    <col min="11274" max="11274" width="14.140625" style="1" bestFit="1" customWidth="1"/>
    <col min="11275" max="11520" width="9.140625" style="1"/>
    <col min="11521" max="11521" width="3.85546875" style="1" customWidth="1"/>
    <col min="11522" max="11522" width="41.7109375" style="1" customWidth="1"/>
    <col min="11523" max="11523" width="17.28515625" style="1" customWidth="1"/>
    <col min="11524" max="11524" width="11.140625" style="1" customWidth="1"/>
    <col min="11525" max="11525" width="10.5703125" style="1" customWidth="1"/>
    <col min="11526" max="11526" width="18.42578125" style="1" bestFit="1" customWidth="1"/>
    <col min="11527" max="11527" width="4.7109375" style="1" customWidth="1"/>
    <col min="11528" max="11528" width="7.28515625" style="1" customWidth="1"/>
    <col min="11529" max="11529" width="9.140625" style="1"/>
    <col min="11530" max="11530" width="14.140625" style="1" bestFit="1" customWidth="1"/>
    <col min="11531" max="11776" width="9.140625" style="1"/>
    <col min="11777" max="11777" width="3.85546875" style="1" customWidth="1"/>
    <col min="11778" max="11778" width="41.7109375" style="1" customWidth="1"/>
    <col min="11779" max="11779" width="17.28515625" style="1" customWidth="1"/>
    <col min="11780" max="11780" width="11.140625" style="1" customWidth="1"/>
    <col min="11781" max="11781" width="10.5703125" style="1" customWidth="1"/>
    <col min="11782" max="11782" width="18.42578125" style="1" bestFit="1" customWidth="1"/>
    <col min="11783" max="11783" width="4.7109375" style="1" customWidth="1"/>
    <col min="11784" max="11784" width="7.28515625" style="1" customWidth="1"/>
    <col min="11785" max="11785" width="9.140625" style="1"/>
    <col min="11786" max="11786" width="14.140625" style="1" bestFit="1" customWidth="1"/>
    <col min="11787" max="12032" width="9.140625" style="1"/>
    <col min="12033" max="12033" width="3.85546875" style="1" customWidth="1"/>
    <col min="12034" max="12034" width="41.7109375" style="1" customWidth="1"/>
    <col min="12035" max="12035" width="17.28515625" style="1" customWidth="1"/>
    <col min="12036" max="12036" width="11.140625" style="1" customWidth="1"/>
    <col min="12037" max="12037" width="10.5703125" style="1" customWidth="1"/>
    <col min="12038" max="12038" width="18.42578125" style="1" bestFit="1" customWidth="1"/>
    <col min="12039" max="12039" width="4.7109375" style="1" customWidth="1"/>
    <col min="12040" max="12040" width="7.28515625" style="1" customWidth="1"/>
    <col min="12041" max="12041" width="9.140625" style="1"/>
    <col min="12042" max="12042" width="14.140625" style="1" bestFit="1" customWidth="1"/>
    <col min="12043" max="12288" width="9.140625" style="1"/>
    <col min="12289" max="12289" width="3.85546875" style="1" customWidth="1"/>
    <col min="12290" max="12290" width="41.7109375" style="1" customWidth="1"/>
    <col min="12291" max="12291" width="17.28515625" style="1" customWidth="1"/>
    <col min="12292" max="12292" width="11.140625" style="1" customWidth="1"/>
    <col min="12293" max="12293" width="10.5703125" style="1" customWidth="1"/>
    <col min="12294" max="12294" width="18.42578125" style="1" bestFit="1" customWidth="1"/>
    <col min="12295" max="12295" width="4.7109375" style="1" customWidth="1"/>
    <col min="12296" max="12296" width="7.28515625" style="1" customWidth="1"/>
    <col min="12297" max="12297" width="9.140625" style="1"/>
    <col min="12298" max="12298" width="14.140625" style="1" bestFit="1" customWidth="1"/>
    <col min="12299" max="12544" width="9.140625" style="1"/>
    <col min="12545" max="12545" width="3.85546875" style="1" customWidth="1"/>
    <col min="12546" max="12546" width="41.7109375" style="1" customWidth="1"/>
    <col min="12547" max="12547" width="17.28515625" style="1" customWidth="1"/>
    <col min="12548" max="12548" width="11.140625" style="1" customWidth="1"/>
    <col min="12549" max="12549" width="10.5703125" style="1" customWidth="1"/>
    <col min="12550" max="12550" width="18.42578125" style="1" bestFit="1" customWidth="1"/>
    <col min="12551" max="12551" width="4.7109375" style="1" customWidth="1"/>
    <col min="12552" max="12552" width="7.28515625" style="1" customWidth="1"/>
    <col min="12553" max="12553" width="9.140625" style="1"/>
    <col min="12554" max="12554" width="14.140625" style="1" bestFit="1" customWidth="1"/>
    <col min="12555" max="12800" width="9.140625" style="1"/>
    <col min="12801" max="12801" width="3.85546875" style="1" customWidth="1"/>
    <col min="12802" max="12802" width="41.7109375" style="1" customWidth="1"/>
    <col min="12803" max="12803" width="17.28515625" style="1" customWidth="1"/>
    <col min="12804" max="12804" width="11.140625" style="1" customWidth="1"/>
    <col min="12805" max="12805" width="10.5703125" style="1" customWidth="1"/>
    <col min="12806" max="12806" width="18.42578125" style="1" bestFit="1" customWidth="1"/>
    <col min="12807" max="12807" width="4.7109375" style="1" customWidth="1"/>
    <col min="12808" max="12808" width="7.28515625" style="1" customWidth="1"/>
    <col min="12809" max="12809" width="9.140625" style="1"/>
    <col min="12810" max="12810" width="14.140625" style="1" bestFit="1" customWidth="1"/>
    <col min="12811" max="13056" width="9.140625" style="1"/>
    <col min="13057" max="13057" width="3.85546875" style="1" customWidth="1"/>
    <col min="13058" max="13058" width="41.7109375" style="1" customWidth="1"/>
    <col min="13059" max="13059" width="17.28515625" style="1" customWidth="1"/>
    <col min="13060" max="13060" width="11.140625" style="1" customWidth="1"/>
    <col min="13061" max="13061" width="10.5703125" style="1" customWidth="1"/>
    <col min="13062" max="13062" width="18.42578125" style="1" bestFit="1" customWidth="1"/>
    <col min="13063" max="13063" width="4.7109375" style="1" customWidth="1"/>
    <col min="13064" max="13064" width="7.28515625" style="1" customWidth="1"/>
    <col min="13065" max="13065" width="9.140625" style="1"/>
    <col min="13066" max="13066" width="14.140625" style="1" bestFit="1" customWidth="1"/>
    <col min="13067" max="13312" width="9.140625" style="1"/>
    <col min="13313" max="13313" width="3.85546875" style="1" customWidth="1"/>
    <col min="13314" max="13314" width="41.7109375" style="1" customWidth="1"/>
    <col min="13315" max="13315" width="17.28515625" style="1" customWidth="1"/>
    <col min="13316" max="13316" width="11.140625" style="1" customWidth="1"/>
    <col min="13317" max="13317" width="10.5703125" style="1" customWidth="1"/>
    <col min="13318" max="13318" width="18.42578125" style="1" bestFit="1" customWidth="1"/>
    <col min="13319" max="13319" width="4.7109375" style="1" customWidth="1"/>
    <col min="13320" max="13320" width="7.28515625" style="1" customWidth="1"/>
    <col min="13321" max="13321" width="9.140625" style="1"/>
    <col min="13322" max="13322" width="14.140625" style="1" bestFit="1" customWidth="1"/>
    <col min="13323" max="13568" width="9.140625" style="1"/>
    <col min="13569" max="13569" width="3.85546875" style="1" customWidth="1"/>
    <col min="13570" max="13570" width="41.7109375" style="1" customWidth="1"/>
    <col min="13571" max="13571" width="17.28515625" style="1" customWidth="1"/>
    <col min="13572" max="13572" width="11.140625" style="1" customWidth="1"/>
    <col min="13573" max="13573" width="10.5703125" style="1" customWidth="1"/>
    <col min="13574" max="13574" width="18.42578125" style="1" bestFit="1" customWidth="1"/>
    <col min="13575" max="13575" width="4.7109375" style="1" customWidth="1"/>
    <col min="13576" max="13576" width="7.28515625" style="1" customWidth="1"/>
    <col min="13577" max="13577" width="9.140625" style="1"/>
    <col min="13578" max="13578" width="14.140625" style="1" bestFit="1" customWidth="1"/>
    <col min="13579" max="13824" width="9.140625" style="1"/>
    <col min="13825" max="13825" width="3.85546875" style="1" customWidth="1"/>
    <col min="13826" max="13826" width="41.7109375" style="1" customWidth="1"/>
    <col min="13827" max="13827" width="17.28515625" style="1" customWidth="1"/>
    <col min="13828" max="13828" width="11.140625" style="1" customWidth="1"/>
    <col min="13829" max="13829" width="10.5703125" style="1" customWidth="1"/>
    <col min="13830" max="13830" width="18.42578125" style="1" bestFit="1" customWidth="1"/>
    <col min="13831" max="13831" width="4.7109375" style="1" customWidth="1"/>
    <col min="13832" max="13832" width="7.28515625" style="1" customWidth="1"/>
    <col min="13833" max="13833" width="9.140625" style="1"/>
    <col min="13834" max="13834" width="14.140625" style="1" bestFit="1" customWidth="1"/>
    <col min="13835" max="14080" width="9.140625" style="1"/>
    <col min="14081" max="14081" width="3.85546875" style="1" customWidth="1"/>
    <col min="14082" max="14082" width="41.7109375" style="1" customWidth="1"/>
    <col min="14083" max="14083" width="17.28515625" style="1" customWidth="1"/>
    <col min="14084" max="14084" width="11.140625" style="1" customWidth="1"/>
    <col min="14085" max="14085" width="10.5703125" style="1" customWidth="1"/>
    <col min="14086" max="14086" width="18.42578125" style="1" bestFit="1" customWidth="1"/>
    <col min="14087" max="14087" width="4.7109375" style="1" customWidth="1"/>
    <col min="14088" max="14088" width="7.28515625" style="1" customWidth="1"/>
    <col min="14089" max="14089" width="9.140625" style="1"/>
    <col min="14090" max="14090" width="14.140625" style="1" bestFit="1" customWidth="1"/>
    <col min="14091" max="14336" width="9.140625" style="1"/>
    <col min="14337" max="14337" width="3.85546875" style="1" customWidth="1"/>
    <col min="14338" max="14338" width="41.7109375" style="1" customWidth="1"/>
    <col min="14339" max="14339" width="17.28515625" style="1" customWidth="1"/>
    <col min="14340" max="14340" width="11.140625" style="1" customWidth="1"/>
    <col min="14341" max="14341" width="10.5703125" style="1" customWidth="1"/>
    <col min="14342" max="14342" width="18.42578125" style="1" bestFit="1" customWidth="1"/>
    <col min="14343" max="14343" width="4.7109375" style="1" customWidth="1"/>
    <col min="14344" max="14344" width="7.28515625" style="1" customWidth="1"/>
    <col min="14345" max="14345" width="9.140625" style="1"/>
    <col min="14346" max="14346" width="14.140625" style="1" bestFit="1" customWidth="1"/>
    <col min="14347" max="14592" width="9.140625" style="1"/>
    <col min="14593" max="14593" width="3.85546875" style="1" customWidth="1"/>
    <col min="14594" max="14594" width="41.7109375" style="1" customWidth="1"/>
    <col min="14595" max="14595" width="17.28515625" style="1" customWidth="1"/>
    <col min="14596" max="14596" width="11.140625" style="1" customWidth="1"/>
    <col min="14597" max="14597" width="10.5703125" style="1" customWidth="1"/>
    <col min="14598" max="14598" width="18.42578125" style="1" bestFit="1" customWidth="1"/>
    <col min="14599" max="14599" width="4.7109375" style="1" customWidth="1"/>
    <col min="14600" max="14600" width="7.28515625" style="1" customWidth="1"/>
    <col min="14601" max="14601" width="9.140625" style="1"/>
    <col min="14602" max="14602" width="14.140625" style="1" bestFit="1" customWidth="1"/>
    <col min="14603" max="14848" width="9.140625" style="1"/>
    <col min="14849" max="14849" width="3.85546875" style="1" customWidth="1"/>
    <col min="14850" max="14850" width="41.7109375" style="1" customWidth="1"/>
    <col min="14851" max="14851" width="17.28515625" style="1" customWidth="1"/>
    <col min="14852" max="14852" width="11.140625" style="1" customWidth="1"/>
    <col min="14853" max="14853" width="10.5703125" style="1" customWidth="1"/>
    <col min="14854" max="14854" width="18.42578125" style="1" bestFit="1" customWidth="1"/>
    <col min="14855" max="14855" width="4.7109375" style="1" customWidth="1"/>
    <col min="14856" max="14856" width="7.28515625" style="1" customWidth="1"/>
    <col min="14857" max="14857" width="9.140625" style="1"/>
    <col min="14858" max="14858" width="14.140625" style="1" bestFit="1" customWidth="1"/>
    <col min="14859" max="15104" width="9.140625" style="1"/>
    <col min="15105" max="15105" width="3.85546875" style="1" customWidth="1"/>
    <col min="15106" max="15106" width="41.7109375" style="1" customWidth="1"/>
    <col min="15107" max="15107" width="17.28515625" style="1" customWidth="1"/>
    <col min="15108" max="15108" width="11.140625" style="1" customWidth="1"/>
    <col min="15109" max="15109" width="10.5703125" style="1" customWidth="1"/>
    <col min="15110" max="15110" width="18.42578125" style="1" bestFit="1" customWidth="1"/>
    <col min="15111" max="15111" width="4.7109375" style="1" customWidth="1"/>
    <col min="15112" max="15112" width="7.28515625" style="1" customWidth="1"/>
    <col min="15113" max="15113" width="9.140625" style="1"/>
    <col min="15114" max="15114" width="14.140625" style="1" bestFit="1" customWidth="1"/>
    <col min="15115" max="15360" width="9.140625" style="1"/>
    <col min="15361" max="15361" width="3.85546875" style="1" customWidth="1"/>
    <col min="15362" max="15362" width="41.7109375" style="1" customWidth="1"/>
    <col min="15363" max="15363" width="17.28515625" style="1" customWidth="1"/>
    <col min="15364" max="15364" width="11.140625" style="1" customWidth="1"/>
    <col min="15365" max="15365" width="10.5703125" style="1" customWidth="1"/>
    <col min="15366" max="15366" width="18.42578125" style="1" bestFit="1" customWidth="1"/>
    <col min="15367" max="15367" width="4.7109375" style="1" customWidth="1"/>
    <col min="15368" max="15368" width="7.28515625" style="1" customWidth="1"/>
    <col min="15369" max="15369" width="9.140625" style="1"/>
    <col min="15370" max="15370" width="14.140625" style="1" bestFit="1" customWidth="1"/>
    <col min="15371" max="15616" width="9.140625" style="1"/>
    <col min="15617" max="15617" width="3.85546875" style="1" customWidth="1"/>
    <col min="15618" max="15618" width="41.7109375" style="1" customWidth="1"/>
    <col min="15619" max="15619" width="17.28515625" style="1" customWidth="1"/>
    <col min="15620" max="15620" width="11.140625" style="1" customWidth="1"/>
    <col min="15621" max="15621" width="10.5703125" style="1" customWidth="1"/>
    <col min="15622" max="15622" width="18.42578125" style="1" bestFit="1" customWidth="1"/>
    <col min="15623" max="15623" width="4.7109375" style="1" customWidth="1"/>
    <col min="15624" max="15624" width="7.28515625" style="1" customWidth="1"/>
    <col min="15625" max="15625" width="9.140625" style="1"/>
    <col min="15626" max="15626" width="14.140625" style="1" bestFit="1" customWidth="1"/>
    <col min="15627" max="15872" width="9.140625" style="1"/>
    <col min="15873" max="15873" width="3.85546875" style="1" customWidth="1"/>
    <col min="15874" max="15874" width="41.7109375" style="1" customWidth="1"/>
    <col min="15875" max="15875" width="17.28515625" style="1" customWidth="1"/>
    <col min="15876" max="15876" width="11.140625" style="1" customWidth="1"/>
    <col min="15877" max="15877" width="10.5703125" style="1" customWidth="1"/>
    <col min="15878" max="15878" width="18.42578125" style="1" bestFit="1" customWidth="1"/>
    <col min="15879" max="15879" width="4.7109375" style="1" customWidth="1"/>
    <col min="15880" max="15880" width="7.28515625" style="1" customWidth="1"/>
    <col min="15881" max="15881" width="9.140625" style="1"/>
    <col min="15882" max="15882" width="14.140625" style="1" bestFit="1" customWidth="1"/>
    <col min="15883" max="16128" width="9.140625" style="1"/>
    <col min="16129" max="16129" width="3.85546875" style="1" customWidth="1"/>
    <col min="16130" max="16130" width="41.7109375" style="1" customWidth="1"/>
    <col min="16131" max="16131" width="17.28515625" style="1" customWidth="1"/>
    <col min="16132" max="16132" width="11.140625" style="1" customWidth="1"/>
    <col min="16133" max="16133" width="10.5703125" style="1" customWidth="1"/>
    <col min="16134" max="16134" width="18.42578125" style="1" bestFit="1" customWidth="1"/>
    <col min="16135" max="16135" width="4.7109375" style="1" customWidth="1"/>
    <col min="16136" max="16136" width="7.28515625" style="1" customWidth="1"/>
    <col min="16137" max="16137" width="9.140625" style="1"/>
    <col min="16138" max="16138" width="14.140625" style="1" bestFit="1" customWidth="1"/>
    <col min="16139" max="16384" width="9.140625" style="1"/>
  </cols>
  <sheetData>
    <row r="1" spans="2:16" ht="15" thickBot="1" x14ac:dyDescent="0.25"/>
    <row r="2" spans="2:16" ht="15" x14ac:dyDescent="0.25">
      <c r="B2" s="39" t="s">
        <v>63</v>
      </c>
      <c r="C2" s="198" t="s">
        <v>64</v>
      </c>
      <c r="D2" s="199"/>
      <c r="E2" s="200"/>
    </row>
    <row r="3" spans="2:16" ht="15" x14ac:dyDescent="0.25">
      <c r="B3" s="40" t="s">
        <v>65</v>
      </c>
      <c r="C3" s="201" t="s">
        <v>66</v>
      </c>
      <c r="D3" s="202"/>
      <c r="E3" s="203"/>
      <c r="G3" s="1" t="s">
        <v>123</v>
      </c>
      <c r="P3" s="162" t="s">
        <v>122</v>
      </c>
    </row>
    <row r="4" spans="2:16" ht="15.75" thickBot="1" x14ac:dyDescent="0.3">
      <c r="B4" s="40" t="s">
        <v>67</v>
      </c>
      <c r="C4" s="201" t="s">
        <v>68</v>
      </c>
      <c r="D4" s="202"/>
      <c r="E4" s="203"/>
    </row>
    <row r="5" spans="2:16" ht="15.75" thickBot="1" x14ac:dyDescent="0.3">
      <c r="B5" s="41"/>
      <c r="C5" s="42"/>
      <c r="D5" s="42"/>
      <c r="E5" s="43"/>
    </row>
    <row r="6" spans="2:16" x14ac:dyDescent="0.2">
      <c r="B6" s="44" t="s">
        <v>69</v>
      </c>
      <c r="C6" s="204" t="s">
        <v>126</v>
      </c>
      <c r="D6" s="205"/>
      <c r="E6" s="206"/>
    </row>
    <row r="7" spans="2:16" x14ac:dyDescent="0.2">
      <c r="B7" s="45" t="s">
        <v>70</v>
      </c>
      <c r="C7" s="46">
        <f>'Beregn omkostninger'!G7*'Beregn omkostninger'!G9</f>
        <v>400</v>
      </c>
      <c r="D7" s="17" t="s">
        <v>11</v>
      </c>
      <c r="E7" s="47" t="s">
        <v>71</v>
      </c>
    </row>
    <row r="8" spans="2:16" x14ac:dyDescent="0.2">
      <c r="B8" s="45" t="s">
        <v>72</v>
      </c>
      <c r="C8" s="148">
        <v>50</v>
      </c>
      <c r="D8" s="1" t="str">
        <f>D7</f>
        <v>hkg</v>
      </c>
      <c r="E8" s="48" t="s">
        <v>73</v>
      </c>
    </row>
    <row r="9" spans="2:16" x14ac:dyDescent="0.2">
      <c r="B9" s="44" t="s">
        <v>74</v>
      </c>
      <c r="C9" s="49">
        <f>C7/C8</f>
        <v>8</v>
      </c>
      <c r="D9" s="1" t="s">
        <v>75</v>
      </c>
      <c r="E9" s="48"/>
      <c r="H9" s="164"/>
    </row>
    <row r="10" spans="2:16" x14ac:dyDescent="0.2">
      <c r="B10" s="45" t="s">
        <v>76</v>
      </c>
      <c r="C10" s="46">
        <v>50000</v>
      </c>
      <c r="D10" s="1" t="s">
        <v>77</v>
      </c>
      <c r="E10" s="48"/>
      <c r="H10" s="164"/>
    </row>
    <row r="11" spans="2:16" x14ac:dyDescent="0.2">
      <c r="B11" s="50" t="s">
        <v>78</v>
      </c>
      <c r="C11" s="51">
        <v>10</v>
      </c>
      <c r="D11" s="1" t="s">
        <v>79</v>
      </c>
      <c r="E11" s="48"/>
      <c r="H11" s="165" t="s">
        <v>6</v>
      </c>
      <c r="J11" s="149"/>
      <c r="K11" s="150"/>
      <c r="L11" s="151"/>
      <c r="M11" s="152"/>
    </row>
    <row r="12" spans="2:16" x14ac:dyDescent="0.2">
      <c r="B12" s="45" t="s">
        <v>80</v>
      </c>
      <c r="C12" s="46">
        <v>10</v>
      </c>
      <c r="D12" s="1" t="s">
        <v>81</v>
      </c>
      <c r="E12" s="48"/>
      <c r="H12" s="165" t="s">
        <v>82</v>
      </c>
      <c r="J12" s="153"/>
      <c r="K12" s="154"/>
      <c r="L12" s="155"/>
      <c r="M12" s="156"/>
    </row>
    <row r="13" spans="2:16" x14ac:dyDescent="0.2">
      <c r="B13" s="44" t="s">
        <v>83</v>
      </c>
      <c r="C13" s="52">
        <f>C10*(1-(C11/100))^C12</f>
        <v>17433.922005000008</v>
      </c>
      <c r="D13" s="1" t="s">
        <v>77</v>
      </c>
      <c r="E13" s="48"/>
      <c r="H13" s="165" t="s">
        <v>84</v>
      </c>
      <c r="J13" s="153"/>
      <c r="K13" s="154"/>
      <c r="L13" s="155"/>
      <c r="M13" s="156"/>
    </row>
    <row r="14" spans="2:16" ht="16.5" x14ac:dyDescent="0.2">
      <c r="B14" s="45" t="s">
        <v>85</v>
      </c>
      <c r="C14" s="51">
        <v>5</v>
      </c>
      <c r="D14" s="1" t="s">
        <v>86</v>
      </c>
      <c r="E14" s="48"/>
      <c r="H14" s="165" t="s">
        <v>125</v>
      </c>
      <c r="J14" s="153"/>
      <c r="K14" s="155"/>
      <c r="L14" s="155"/>
      <c r="M14" s="156"/>
    </row>
    <row r="15" spans="2:16" x14ac:dyDescent="0.2">
      <c r="B15" s="45" t="s">
        <v>87</v>
      </c>
      <c r="C15" s="51">
        <v>0</v>
      </c>
      <c r="D15" s="1" t="s">
        <v>37</v>
      </c>
      <c r="E15" s="48"/>
      <c r="H15" s="165" t="s">
        <v>88</v>
      </c>
      <c r="J15" s="153"/>
      <c r="K15" s="155"/>
      <c r="L15" s="155"/>
      <c r="M15" s="156"/>
    </row>
    <row r="16" spans="2:16" x14ac:dyDescent="0.2">
      <c r="B16" s="45" t="s">
        <v>89</v>
      </c>
      <c r="C16" s="51">
        <v>0.1</v>
      </c>
      <c r="D16" s="1" t="s">
        <v>90</v>
      </c>
      <c r="E16" s="48" t="str">
        <f>D8</f>
        <v>hkg</v>
      </c>
      <c r="H16" s="165" t="s">
        <v>91</v>
      </c>
      <c r="J16" s="153"/>
      <c r="K16" s="155"/>
      <c r="L16" s="155"/>
      <c r="M16" s="156"/>
    </row>
    <row r="17" spans="2:13" x14ac:dyDescent="0.2">
      <c r="B17" s="45" t="s">
        <v>107</v>
      </c>
      <c r="C17" s="51">
        <v>1</v>
      </c>
      <c r="D17" s="1" t="s">
        <v>110</v>
      </c>
      <c r="E17" s="48"/>
      <c r="H17" s="165" t="s">
        <v>11</v>
      </c>
      <c r="J17" s="157"/>
      <c r="K17" s="158"/>
      <c r="L17" s="155"/>
      <c r="M17" s="156"/>
    </row>
    <row r="18" spans="2:13" x14ac:dyDescent="0.2">
      <c r="B18" s="45" t="s">
        <v>108</v>
      </c>
      <c r="C18" s="51">
        <v>1.25</v>
      </c>
      <c r="D18" s="1" t="s">
        <v>109</v>
      </c>
      <c r="E18" s="48"/>
      <c r="H18" s="165"/>
      <c r="J18" s="153"/>
      <c r="K18" s="159"/>
      <c r="L18" s="155"/>
      <c r="M18" s="156"/>
    </row>
    <row r="19" spans="2:13" x14ac:dyDescent="0.2">
      <c r="B19" s="45" t="s">
        <v>111</v>
      </c>
      <c r="C19" s="17">
        <v>30</v>
      </c>
      <c r="D19" s="1" t="str">
        <f>D15</f>
        <v>kr. pr. time</v>
      </c>
      <c r="E19" s="48"/>
      <c r="H19" s="165"/>
      <c r="J19" s="160"/>
      <c r="K19" s="10"/>
      <c r="L19" s="10"/>
      <c r="M19" s="161"/>
    </row>
    <row r="20" spans="2:13" ht="15" thickBot="1" x14ac:dyDescent="0.25">
      <c r="B20" s="53" t="s">
        <v>92</v>
      </c>
      <c r="C20" s="54">
        <v>100</v>
      </c>
      <c r="D20" s="55" t="s">
        <v>93</v>
      </c>
      <c r="E20" s="56"/>
      <c r="H20" s="164"/>
    </row>
    <row r="21" spans="2:13" ht="15" thickBot="1" x14ac:dyDescent="0.25">
      <c r="B21" s="57"/>
      <c r="C21" s="58"/>
      <c r="D21" s="59"/>
      <c r="E21" s="60"/>
      <c r="H21" s="164"/>
    </row>
    <row r="22" spans="2:13" ht="15.75" thickBot="1" x14ac:dyDescent="0.3">
      <c r="B22" s="41" t="s">
        <v>94</v>
      </c>
      <c r="C22" s="61" t="str">
        <f>$D$20</f>
        <v>kr. pr. år</v>
      </c>
      <c r="D22" s="62"/>
      <c r="E22" s="63"/>
    </row>
    <row r="23" spans="2:13" x14ac:dyDescent="0.2">
      <c r="B23" s="64" t="s">
        <v>95</v>
      </c>
      <c r="C23" s="65">
        <f>((C10-(C13/(1+(C14/100))^C12))*((C14/100)/(1-(1+(C14/100))^-C12)))</f>
        <v>5089.1521892843857</v>
      </c>
      <c r="D23" s="52"/>
      <c r="E23" s="66"/>
    </row>
    <row r="24" spans="2:13" x14ac:dyDescent="0.2">
      <c r="B24" s="67" t="str">
        <f>B20</f>
        <v>Andre faste omkostninger</v>
      </c>
      <c r="C24" s="65">
        <f>SUM(C20)</f>
        <v>100</v>
      </c>
      <c r="D24" s="52"/>
      <c r="E24" s="66"/>
    </row>
    <row r="25" spans="2:13" x14ac:dyDescent="0.2">
      <c r="B25" s="68" t="s">
        <v>96</v>
      </c>
      <c r="C25" s="69">
        <f>SUM(C23:C24)</f>
        <v>5189.1521892843857</v>
      </c>
      <c r="D25" s="52"/>
      <c r="E25" s="66"/>
    </row>
    <row r="26" spans="2:13" x14ac:dyDescent="0.2">
      <c r="B26" s="67" t="s">
        <v>97</v>
      </c>
      <c r="C26" s="65">
        <f>(C15*C9)+(C9*C17*C18)</f>
        <v>10</v>
      </c>
      <c r="D26" s="52"/>
      <c r="E26" s="66"/>
    </row>
    <row r="27" spans="2:13" x14ac:dyDescent="0.2">
      <c r="B27" s="67" t="s">
        <v>98</v>
      </c>
      <c r="C27" s="65">
        <f>(C16*C7)</f>
        <v>40</v>
      </c>
      <c r="D27" s="52"/>
      <c r="E27" s="66"/>
    </row>
    <row r="28" spans="2:13" x14ac:dyDescent="0.2">
      <c r="B28" s="67" t="s">
        <v>99</v>
      </c>
      <c r="C28" s="65">
        <f>C19*C9</f>
        <v>240</v>
      </c>
      <c r="D28" s="52"/>
      <c r="E28" s="66"/>
    </row>
    <row r="29" spans="2:13" x14ac:dyDescent="0.2">
      <c r="B29" s="70" t="s">
        <v>100</v>
      </c>
      <c r="C29" s="71">
        <f>SUM(C26:C28)</f>
        <v>290</v>
      </c>
      <c r="D29" s="72"/>
      <c r="E29" s="73"/>
    </row>
    <row r="30" spans="2:13" ht="15.75" thickBot="1" x14ac:dyDescent="0.3">
      <c r="B30" s="74" t="s">
        <v>101</v>
      </c>
      <c r="C30" s="75">
        <f>SUM(C25)+C29</f>
        <v>5479.1521892843857</v>
      </c>
      <c r="D30" s="76"/>
      <c r="E30" s="77"/>
    </row>
    <row r="31" spans="2:13" ht="15.75" thickBot="1" x14ac:dyDescent="0.3">
      <c r="B31" s="78"/>
      <c r="C31" s="79"/>
      <c r="D31" s="80"/>
      <c r="E31" s="81"/>
    </row>
    <row r="32" spans="2:13" ht="15.75" thickBot="1" x14ac:dyDescent="0.3">
      <c r="B32" s="41" t="s">
        <v>102</v>
      </c>
      <c r="C32" s="82" t="str">
        <f>$D$15</f>
        <v>kr. pr. time</v>
      </c>
      <c r="D32" s="83"/>
      <c r="E32" s="84"/>
      <c r="F32" s="13"/>
    </row>
    <row r="33" spans="1:8" x14ac:dyDescent="0.2">
      <c r="B33" s="85" t="str">
        <f>B23</f>
        <v xml:space="preserve">Værditab og forrentning gns. </v>
      </c>
      <c r="C33" s="86">
        <f>C23/C9</f>
        <v>636.14402366054821</v>
      </c>
      <c r="D33" s="87"/>
      <c r="E33" s="88"/>
    </row>
    <row r="34" spans="1:8" x14ac:dyDescent="0.2">
      <c r="B34" s="89" t="str">
        <f>B20</f>
        <v>Andre faste omkostninger</v>
      </c>
      <c r="C34" s="86">
        <f>$C$20/$C$9</f>
        <v>12.5</v>
      </c>
      <c r="D34" s="90"/>
      <c r="E34" s="88"/>
    </row>
    <row r="35" spans="1:8" x14ac:dyDescent="0.2">
      <c r="B35" s="50" t="str">
        <f>B25</f>
        <v>Faste omk. i alt</v>
      </c>
      <c r="C35" s="91">
        <f>SUM($C$33:$C$34)</f>
        <v>648.64402366054821</v>
      </c>
      <c r="D35" s="90"/>
      <c r="E35" s="92"/>
    </row>
    <row r="36" spans="1:8" x14ac:dyDescent="0.2">
      <c r="B36" s="89" t="str">
        <f>B26</f>
        <v xml:space="preserve">Evt. traktorleje og brændstof </v>
      </c>
      <c r="C36" s="86">
        <f>C26/C9</f>
        <v>1.25</v>
      </c>
      <c r="D36" s="90"/>
      <c r="E36" s="88"/>
      <c r="F36" s="13"/>
    </row>
    <row r="37" spans="1:8" x14ac:dyDescent="0.2">
      <c r="B37" s="44" t="s">
        <v>98</v>
      </c>
      <c r="C37" s="86">
        <f>C27/C9</f>
        <v>5</v>
      </c>
      <c r="D37" s="90"/>
      <c r="E37" s="88"/>
    </row>
    <row r="38" spans="1:8" x14ac:dyDescent="0.2">
      <c r="B38" s="44" t="s">
        <v>99</v>
      </c>
      <c r="C38" s="86">
        <f>C19</f>
        <v>30</v>
      </c>
      <c r="D38" s="90"/>
      <c r="E38" s="88"/>
    </row>
    <row r="39" spans="1:8" ht="15" thickBot="1" x14ac:dyDescent="0.25">
      <c r="B39" s="163" t="str">
        <f>B29</f>
        <v>Variable omk. i alt</v>
      </c>
      <c r="C39" s="91">
        <f>SUM(C36:C38)</f>
        <v>36.25</v>
      </c>
      <c r="D39" s="93"/>
      <c r="E39" s="94"/>
    </row>
    <row r="40" spans="1:8" ht="15.75" thickBot="1" x14ac:dyDescent="0.3">
      <c r="A40" s="12"/>
      <c r="B40" s="41" t="s">
        <v>103</v>
      </c>
      <c r="C40" s="95">
        <f>SUM(C35+C39)</f>
        <v>684.89402366054821</v>
      </c>
      <c r="D40" s="96"/>
      <c r="E40" s="97"/>
      <c r="H40" s="12"/>
    </row>
    <row r="41" spans="1:8" ht="15" thickBot="1" x14ac:dyDescent="0.25">
      <c r="B41" s="64"/>
      <c r="C41" s="52"/>
      <c r="D41" s="52"/>
      <c r="E41" s="66"/>
    </row>
    <row r="42" spans="1:8" ht="15.75" thickBot="1" x14ac:dyDescent="0.3">
      <c r="B42" s="41" t="s">
        <v>104</v>
      </c>
      <c r="C42" s="98" t="s">
        <v>105</v>
      </c>
      <c r="D42" s="99" t="str">
        <f>D7</f>
        <v>hkg</v>
      </c>
      <c r="E42" s="100"/>
    </row>
    <row r="43" spans="1:8" s="12" customFormat="1" x14ac:dyDescent="0.2">
      <c r="A43" s="1"/>
      <c r="B43" s="64" t="str">
        <f>B33</f>
        <v xml:space="preserve">Værditab og forrentning gns. </v>
      </c>
      <c r="C43" s="86">
        <f>C33/$C$8</f>
        <v>12.722880473210964</v>
      </c>
      <c r="D43" s="87"/>
      <c r="E43" s="88"/>
      <c r="F43" s="1"/>
      <c r="H43" s="1"/>
    </row>
    <row r="44" spans="1:8" x14ac:dyDescent="0.2">
      <c r="B44" s="64" t="str">
        <f>B34</f>
        <v>Andre faste omkostninger</v>
      </c>
      <c r="C44" s="86">
        <f>C34/$C$8</f>
        <v>0.25</v>
      </c>
      <c r="D44" s="90"/>
      <c r="E44" s="88"/>
      <c r="G44" s="52"/>
    </row>
    <row r="45" spans="1:8" x14ac:dyDescent="0.2">
      <c r="B45" s="70" t="str">
        <f>B25</f>
        <v>Faste omk. i alt</v>
      </c>
      <c r="C45" s="91">
        <f>SUM(C43:C44)</f>
        <v>12.972880473210964</v>
      </c>
      <c r="D45" s="101"/>
      <c r="E45" s="92"/>
    </row>
    <row r="46" spans="1:8" x14ac:dyDescent="0.2">
      <c r="B46" s="64" t="str">
        <f>B36</f>
        <v xml:space="preserve">Evt. traktorleje og brændstof </v>
      </c>
      <c r="C46" s="86">
        <f>C26/$C$7</f>
        <v>2.5000000000000001E-2</v>
      </c>
      <c r="D46" s="90"/>
      <c r="E46" s="88"/>
    </row>
    <row r="47" spans="1:8" x14ac:dyDescent="0.2">
      <c r="B47" s="64" t="str">
        <f>B37</f>
        <v>Vedligehold</v>
      </c>
      <c r="C47" s="86">
        <f>C27/$C$7</f>
        <v>0.1</v>
      </c>
      <c r="D47" s="90"/>
      <c r="E47" s="88"/>
    </row>
    <row r="48" spans="1:8" x14ac:dyDescent="0.2">
      <c r="B48" s="64" t="str">
        <f>B38</f>
        <v>Arbejdsløn</v>
      </c>
      <c r="C48" s="86">
        <f>C38/$C$8</f>
        <v>0.6</v>
      </c>
      <c r="D48" s="90"/>
      <c r="E48" s="88"/>
    </row>
    <row r="49" spans="2:6" ht="15" thickBot="1" x14ac:dyDescent="0.25">
      <c r="B49" s="70" t="str">
        <f>B29</f>
        <v>Variable omk. i alt</v>
      </c>
      <c r="C49" s="91">
        <f>SUM(C46:C48)</f>
        <v>0.72499999999999998</v>
      </c>
      <c r="D49" s="101"/>
      <c r="E49" s="92"/>
      <c r="F49" s="90"/>
    </row>
    <row r="50" spans="2:6" ht="15.75" thickBot="1" x14ac:dyDescent="0.3">
      <c r="B50" s="41" t="str">
        <f>B40</f>
        <v xml:space="preserve">I alt </v>
      </c>
      <c r="C50" s="95">
        <f>C40/$C$8</f>
        <v>13.697880473210965</v>
      </c>
      <c r="D50" s="102"/>
      <c r="E50" s="97"/>
      <c r="F50" s="90"/>
    </row>
    <row r="51" spans="2:6" x14ac:dyDescent="0.2">
      <c r="B51" s="59"/>
      <c r="C51" s="59"/>
      <c r="D51" s="59"/>
      <c r="E51" s="59"/>
    </row>
  </sheetData>
  <sheetProtection sheet="1" objects="1" scenarios="1"/>
  <mergeCells count="4">
    <mergeCell ref="C2:E2"/>
    <mergeCell ref="C3:E3"/>
    <mergeCell ref="C4:E4"/>
    <mergeCell ref="C6:E6"/>
  </mergeCells>
  <dataValidations count="1">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ED5403F2-7D6F-4BE1-B9A1-3949EA79C9B2}">
      <formula1>$H$11:$H$19</formula1>
    </dataValidation>
  </dataValidations>
  <hyperlinks>
    <hyperlink ref="P3" r:id="rId1" xr:uid="{3937C2AA-105A-4D9A-954B-C651356926AD}"/>
  </hyperlinks>
  <pageMargins left="0.7" right="0.7" top="0.75" bottom="0.75" header="0.3" footer="0.3"/>
  <pageSetup paperSize="9" scale="90"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Introduktion</vt:lpstr>
      <vt:lpstr>Beregn omkostninger</vt:lpstr>
      <vt:lpstr>Følsomhed udbytte og areal</vt:lpstr>
      <vt:lpstr>Investeringsberegning udstyr</vt:lpstr>
      <vt:lpstr>'Beregn omkostninger'!Udskriftsområde</vt:lpstr>
      <vt:lpstr>'Følsomhed udbytte og areal'!Udskriftsområde</vt:lpstr>
      <vt:lpstr>Introduktion!Udskriftsområde</vt:lpstr>
      <vt:lpstr>'Investeringsberegning udstyr'!Udskriftsområde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Højholdt</dc:creator>
  <cp:lastModifiedBy>Anna Borum</cp:lastModifiedBy>
  <cp:lastPrinted>2025-08-18T10:58:37Z</cp:lastPrinted>
  <dcterms:created xsi:type="dcterms:W3CDTF">2023-08-22T10:43:54Z</dcterms:created>
  <dcterms:modified xsi:type="dcterms:W3CDTF">2025-08-27T08:44:11Z</dcterms:modified>
</cp:coreProperties>
</file>