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1276_PAF_TOVE_Markens motor\01_Arbejdsmappe\JONE\Analyseprodukter\"/>
    </mc:Choice>
  </mc:AlternateContent>
  <xr:revisionPtr revIDLastSave="0" documentId="13_ncr:1_{1F9EC724-67F9-4E7C-9192-06C000B20E69}" xr6:coauthVersionLast="47" xr6:coauthVersionMax="47" xr10:uidLastSave="{00000000-0000-0000-0000-000000000000}"/>
  <bookViews>
    <workbookView xWindow="-120" yWindow="-120" windowWidth="29040" windowHeight="15720" activeTab="1" xr2:uid="{024C76C0-590B-47F3-99F2-9CE99F200EFC}"/>
  </bookViews>
  <sheets>
    <sheet name="Priser" sheetId="1" r:id="rId1"/>
    <sheet name="Resulta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N9" i="2"/>
  <c r="O9" i="2"/>
  <c r="Q9" i="2"/>
  <c r="R9" i="2"/>
  <c r="S9" i="2"/>
  <c r="U9" i="2"/>
  <c r="V9" i="2"/>
  <c r="W9" i="2"/>
  <c r="Y9" i="2"/>
  <c r="Z9" i="2"/>
  <c r="K9" i="2"/>
  <c r="P8" i="2"/>
  <c r="E43" i="2"/>
  <c r="E42" i="2"/>
  <c r="D43" i="2"/>
  <c r="X8" i="2" s="1"/>
  <c r="D42" i="2"/>
  <c r="X7" i="2" s="1"/>
  <c r="E32" i="2"/>
  <c r="E31" i="2"/>
  <c r="D32" i="2"/>
  <c r="T8" i="2" s="1"/>
  <c r="T9" i="2" s="1"/>
  <c r="D31" i="2"/>
  <c r="T7" i="2" s="1"/>
  <c r="E21" i="2"/>
  <c r="E20" i="2"/>
  <c r="D21" i="2"/>
  <c r="D20" i="2"/>
  <c r="P7" i="2" s="1"/>
  <c r="E10" i="2"/>
  <c r="D10" i="2"/>
  <c r="L8" i="2" s="1"/>
  <c r="D9" i="2"/>
  <c r="L7" i="2" s="1"/>
  <c r="E9" i="2"/>
  <c r="L17" i="1"/>
  <c r="L9" i="2" l="1"/>
  <c r="X9" i="2"/>
  <c r="P9" i="2"/>
  <c r="I17" i="1"/>
  <c r="G13" i="1"/>
  <c r="G15" i="1"/>
  <c r="G11" i="1"/>
  <c r="G9" i="1"/>
  <c r="G6" i="1"/>
  <c r="G7" i="1"/>
  <c r="G5" i="1"/>
  <c r="G17" i="1" l="1"/>
</calcChain>
</file>

<file path=xl/sharedStrings.xml><?xml version="1.0" encoding="utf-8"?>
<sst xmlns="http://schemas.openxmlformats.org/spreadsheetml/2006/main" count="138" uniqueCount="69">
  <si>
    <t>Laboratorie</t>
  </si>
  <si>
    <t>Analyse</t>
  </si>
  <si>
    <t>Forsendelse</t>
  </si>
  <si>
    <t>Produkt</t>
  </si>
  <si>
    <t>Regen Basic</t>
  </si>
  <si>
    <t>Texture, SOM, pH, Microbial Biomass, Bacteria, and Fungi</t>
  </si>
  <si>
    <t>Regen+</t>
  </si>
  <si>
    <t>Same as Basic, plus Macrofauna, Earthworms, Enchytraeids, and β-glucosidase enzyme activity</t>
  </si>
  <si>
    <t>Regen 360</t>
  </si>
  <si>
    <t>Everything in Regen+, plus Micro &amp; Mesofauna, Nematodes, Mites, Springtails, and the four most relevant enzymatic activities</t>
  </si>
  <si>
    <t>Soilytix (DE/NL)</t>
  </si>
  <si>
    <t>Soil Food Web</t>
  </si>
  <si>
    <t>Microbiometer</t>
  </si>
  <si>
    <t>Internt</t>
  </si>
  <si>
    <t>Microbial biomass,, f:B ratio</t>
  </si>
  <si>
    <t>Pris/stk</t>
  </si>
  <si>
    <t>Mikroskopianalyse</t>
  </si>
  <si>
    <t>Soil Life Monitor</t>
  </si>
  <si>
    <t>Antal</t>
  </si>
  <si>
    <t>I alt</t>
  </si>
  <si>
    <t>pris/stk i kr</t>
  </si>
  <si>
    <t>IBP Farming</t>
  </si>
  <si>
    <t>Permakultur Farmers</t>
  </si>
  <si>
    <t>Mængde jord</t>
  </si>
  <si>
    <t>1 L</t>
  </si>
  <si>
    <t>200-300 g</t>
  </si>
  <si>
    <t>Analyser</t>
  </si>
  <si>
    <t>Eurofins</t>
  </si>
  <si>
    <t>Soilytix</t>
  </si>
  <si>
    <t>microBIOMETER</t>
  </si>
  <si>
    <t>Permaculture Farmers</t>
  </si>
  <si>
    <t>pH</t>
  </si>
  <si>
    <t>Ler, %</t>
  </si>
  <si>
    <t>SOM, %</t>
  </si>
  <si>
    <t>SOC, %</t>
  </si>
  <si>
    <t>F:B ratio</t>
  </si>
  <si>
    <t>Prøve 1</t>
  </si>
  <si>
    <t>MBC, mg/kg</t>
  </si>
  <si>
    <t>Total bacteria, mg/kg</t>
  </si>
  <si>
    <t>Total fungi, mg/kg</t>
  </si>
  <si>
    <t>Prøve 2</t>
  </si>
  <si>
    <t>Prøve 3</t>
  </si>
  <si>
    <t>Prøve 4</t>
  </si>
  <si>
    <t>1. test</t>
  </si>
  <si>
    <t>2. test</t>
  </si>
  <si>
    <t>Frosne prøver</t>
  </si>
  <si>
    <t>Friske prøver</t>
  </si>
  <si>
    <t>PLFA/NIRS</t>
  </si>
  <si>
    <t>DNA/Enzym</t>
  </si>
  <si>
    <t>Colorimetric</t>
  </si>
  <si>
    <t>Soil Food Web-mikroskopi</t>
  </si>
  <si>
    <t>SFW1</t>
  </si>
  <si>
    <t>SFW2</t>
  </si>
  <si>
    <t>Mark 1 - Øko Vårhavre</t>
  </si>
  <si>
    <t>Mark 2 - Øko Spindehør</t>
  </si>
  <si>
    <t>Mark 3 - Konv. Vinterhvede</t>
  </si>
  <si>
    <t>Mark 4 - Våd eng m. afgræsning</t>
  </si>
  <si>
    <t>Bakterier</t>
  </si>
  <si>
    <t>Svampe</t>
  </si>
  <si>
    <t>FBR</t>
  </si>
  <si>
    <t>0.17</t>
  </si>
  <si>
    <t>AMF, % læsninger</t>
  </si>
  <si>
    <t>Jordprøve</t>
  </si>
  <si>
    <t>Jordprøve #1</t>
  </si>
  <si>
    <t>Jordprøve #2</t>
  </si>
  <si>
    <t>Jordprøve #3</t>
  </si>
  <si>
    <t>Jordprøve #4</t>
  </si>
  <si>
    <t>AMF (16:1ω5), mg PLFA/kg jord (Eurofins)</t>
  </si>
  <si>
    <t>AMF, % af alle sekvenser (Soilytix)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</si>
</sst>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.&quot;_-;\-* #,##0.00\ &quot;kr.&quot;_-;_-* &quot;-&quot;??\ &quot;kr.&quot;_-;_-@_-"/>
    <numFmt numFmtId="164" formatCode="_-[$€-2]\ * #,##0.00_-;\-[$€-2]\ * #,##0.00_-;_-[$€-2]\ * &quot;-&quot;??_-;_-@_-"/>
    <numFmt numFmtId="165" formatCode="_-* #,##0.00\ [$kr.-406]_-;\-* #,##0.00\ [$kr.-406]_-;_-* &quot;-&quot;??\ [$kr.-406]_-;_-@_-"/>
    <numFmt numFmtId="166" formatCode="[$£-809]#,##0.00"/>
    <numFmt numFmtId="167" formatCode="0.0"/>
  </numFmts>
  <fonts count="6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2" tint="-0.249977111117893"/>
      <name val="Arial"/>
      <family val="2"/>
    </font>
    <font>
      <sz val="9"/>
      <name val="Arial"/>
      <family val="2"/>
    </font>
    <font>
      <i/>
      <sz val="9"/>
      <color theme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65" fontId="0" fillId="0" borderId="0" xfId="1" applyNumberFormat="1" applyFont="1"/>
    <xf numFmtId="164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1" fontId="0" fillId="0" borderId="0" xfId="0" applyNumberFormat="1"/>
    <xf numFmtId="0" fontId="5" fillId="0" borderId="0" xfId="0" applyFont="1"/>
    <xf numFmtId="167" fontId="0" fillId="0" borderId="0" xfId="0" applyNumberFormat="1"/>
    <xf numFmtId="2" fontId="4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Svampe-bakterieforhold</a:t>
            </a:r>
            <a:r>
              <a:rPr lang="en-US" baseline="0"/>
              <a:t> </a:t>
            </a:r>
            <a:r>
              <a:rPr lang="en-US"/>
              <a:t>(FBR)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Resultater!$J$9</c:f>
              <c:strCache>
                <c:ptCount val="1"/>
                <c:pt idx="0">
                  <c:v>FBR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Resultater!$K$5:$Z$6</c:f>
              <c:multiLvlStrCache>
                <c:ptCount val="16"/>
                <c:lvl>
                  <c:pt idx="0">
                    <c:v>Eurofins</c:v>
                  </c:pt>
                  <c:pt idx="1">
                    <c:v>microBIOMETER</c:v>
                  </c:pt>
                  <c:pt idx="2">
                    <c:v>SFW1</c:v>
                  </c:pt>
                  <c:pt idx="3">
                    <c:v>SFW2</c:v>
                  </c:pt>
                  <c:pt idx="4">
                    <c:v>Eurofins</c:v>
                  </c:pt>
                  <c:pt idx="5">
                    <c:v>microBIOMETER</c:v>
                  </c:pt>
                  <c:pt idx="6">
                    <c:v>SFW1</c:v>
                  </c:pt>
                  <c:pt idx="7">
                    <c:v>SFW2</c:v>
                  </c:pt>
                  <c:pt idx="8">
                    <c:v>Eurofins</c:v>
                  </c:pt>
                  <c:pt idx="9">
                    <c:v>microBIOMETER</c:v>
                  </c:pt>
                  <c:pt idx="10">
                    <c:v>SFW1</c:v>
                  </c:pt>
                  <c:pt idx="11">
                    <c:v>SFW2</c:v>
                  </c:pt>
                  <c:pt idx="12">
                    <c:v>Eurofins</c:v>
                  </c:pt>
                  <c:pt idx="13">
                    <c:v>microBIOMETER</c:v>
                  </c:pt>
                  <c:pt idx="14">
                    <c:v>SFW1</c:v>
                  </c:pt>
                  <c:pt idx="15">
                    <c:v>SFW2</c:v>
                  </c:pt>
                </c:lvl>
                <c:lvl>
                  <c:pt idx="0">
                    <c:v>Mark 1 - Øko Vårhavre</c:v>
                  </c:pt>
                  <c:pt idx="4">
                    <c:v>Mark 2 - Øko Spindehør</c:v>
                  </c:pt>
                  <c:pt idx="8">
                    <c:v>Mark 3 - Konv. Vinterhvede</c:v>
                  </c:pt>
                  <c:pt idx="12">
                    <c:v>Mark 4 - Våd eng m. afgræsning</c:v>
                  </c:pt>
                </c:lvl>
              </c:multiLvlStrCache>
            </c:multiLvlStrRef>
          </c:cat>
          <c:val>
            <c:numRef>
              <c:f>Resultater!$K$9:$Z$9</c:f>
              <c:numCache>
                <c:formatCode>0.00</c:formatCode>
                <c:ptCount val="16"/>
                <c:pt idx="0">
                  <c:v>0.99295774647887325</c:v>
                </c:pt>
                <c:pt idx="1">
                  <c:v>0.65878258695063241</c:v>
                </c:pt>
                <c:pt idx="2">
                  <c:v>2.4407252440725245E-2</c:v>
                </c:pt>
                <c:pt idx="3">
                  <c:v>0.20833333333333334</c:v>
                </c:pt>
                <c:pt idx="4">
                  <c:v>1.0658682634730539</c:v>
                </c:pt>
                <c:pt idx="5">
                  <c:v>0.62609202096680261</c:v>
                </c:pt>
                <c:pt idx="6">
                  <c:v>2.8943560057887119E-2</c:v>
                </c:pt>
                <c:pt idx="7">
                  <c:v>0.35608308605341249</c:v>
                </c:pt>
                <c:pt idx="8">
                  <c:v>0.91515151515151516</c:v>
                </c:pt>
                <c:pt idx="9">
                  <c:v>0.77874002377313634</c:v>
                </c:pt>
                <c:pt idx="10">
                  <c:v>2.3455824863174355E-2</c:v>
                </c:pt>
                <c:pt idx="11">
                  <c:v>8.2386363636363633E-2</c:v>
                </c:pt>
                <c:pt idx="12">
                  <c:v>0.7567567567567568</c:v>
                </c:pt>
                <c:pt idx="13">
                  <c:v>1.2086879953037866</c:v>
                </c:pt>
                <c:pt idx="14">
                  <c:v>3.9593908629441621E-2</c:v>
                </c:pt>
                <c:pt idx="15">
                  <c:v>0.1393939393939394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9-430C-A91B-54B2D014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547264"/>
        <c:axId val="1151946944"/>
      </c:barChart>
      <c:catAx>
        <c:axId val="12395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51946944"/>
        <c:crosses val="autoZero"/>
        <c:auto val="1"/>
        <c:lblAlgn val="ctr"/>
        <c:lblOffset val="100"/>
        <c:noMultiLvlLbl val="0"/>
      </c:catAx>
      <c:valAx>
        <c:axId val="115194694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395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Svampebiomasse, </a:t>
            </a:r>
            <a:r>
              <a:rPr lang="da-DK" sz="1400" b="0" i="0" u="none" strike="noStrike" baseline="0">
                <a:effectLst/>
              </a:rPr>
              <a:t>µ</a:t>
            </a:r>
            <a:r>
              <a:rPr lang="en-US"/>
              <a:t>g C/g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Resultater!$J$8</c:f>
              <c:strCache>
                <c:ptCount val="1"/>
                <c:pt idx="0">
                  <c:v>Svampe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Resultater!$K$5:$Z$6</c:f>
              <c:multiLvlStrCache>
                <c:ptCount val="16"/>
                <c:lvl>
                  <c:pt idx="0">
                    <c:v>Eurofins</c:v>
                  </c:pt>
                  <c:pt idx="1">
                    <c:v>microBIOMETER</c:v>
                  </c:pt>
                  <c:pt idx="2">
                    <c:v>SFW1</c:v>
                  </c:pt>
                  <c:pt idx="3">
                    <c:v>SFW2</c:v>
                  </c:pt>
                  <c:pt idx="4">
                    <c:v>Eurofins</c:v>
                  </c:pt>
                  <c:pt idx="5">
                    <c:v>microBIOMETER</c:v>
                  </c:pt>
                  <c:pt idx="6">
                    <c:v>SFW1</c:v>
                  </c:pt>
                  <c:pt idx="7">
                    <c:v>SFW2</c:v>
                  </c:pt>
                  <c:pt idx="8">
                    <c:v>Eurofins</c:v>
                  </c:pt>
                  <c:pt idx="9">
                    <c:v>microBIOMETER</c:v>
                  </c:pt>
                  <c:pt idx="10">
                    <c:v>SFW1</c:v>
                  </c:pt>
                  <c:pt idx="11">
                    <c:v>SFW2</c:v>
                  </c:pt>
                  <c:pt idx="12">
                    <c:v>Eurofins</c:v>
                  </c:pt>
                  <c:pt idx="13">
                    <c:v>microBIOMETER</c:v>
                  </c:pt>
                  <c:pt idx="14">
                    <c:v>SFW1</c:v>
                  </c:pt>
                  <c:pt idx="15">
                    <c:v>SFW2</c:v>
                  </c:pt>
                </c:lvl>
                <c:lvl>
                  <c:pt idx="0">
                    <c:v>Mark 1 - Øko Vårhavre</c:v>
                  </c:pt>
                  <c:pt idx="4">
                    <c:v>Mark 2 - Øko Spindehør</c:v>
                  </c:pt>
                  <c:pt idx="8">
                    <c:v>Mark 3 - Konv. Vinterhvede</c:v>
                  </c:pt>
                  <c:pt idx="12">
                    <c:v>Mark 4 - Våd eng m. afgræsning</c:v>
                  </c:pt>
                </c:lvl>
              </c:multiLvlStrCache>
            </c:multiLvlStrRef>
          </c:cat>
          <c:val>
            <c:numRef>
              <c:f>Resultater!$K$8:$Z$8</c:f>
              <c:numCache>
                <c:formatCode>0.0</c:formatCode>
                <c:ptCount val="16"/>
                <c:pt idx="0" formatCode="General">
                  <c:v>141</c:v>
                </c:pt>
                <c:pt idx="1">
                  <c:v>158.065</c:v>
                </c:pt>
                <c:pt idx="2" formatCode="General">
                  <c:v>35</c:v>
                </c:pt>
                <c:pt idx="3" formatCode="General">
                  <c:v>110</c:v>
                </c:pt>
                <c:pt idx="4" formatCode="General">
                  <c:v>178</c:v>
                </c:pt>
                <c:pt idx="5">
                  <c:v>134.375</c:v>
                </c:pt>
                <c:pt idx="6" formatCode="General">
                  <c:v>40</c:v>
                </c:pt>
                <c:pt idx="7" formatCode="General">
                  <c:v>120</c:v>
                </c:pt>
                <c:pt idx="8" formatCode="General">
                  <c:v>151</c:v>
                </c:pt>
                <c:pt idx="9" formatCode="General">
                  <c:v>183.44</c:v>
                </c:pt>
                <c:pt idx="10" formatCode="General">
                  <c:v>30</c:v>
                </c:pt>
                <c:pt idx="11" formatCode="General">
                  <c:v>29</c:v>
                </c:pt>
                <c:pt idx="12" formatCode="General">
                  <c:v>336</c:v>
                </c:pt>
                <c:pt idx="13" formatCode="General">
                  <c:v>329.44</c:v>
                </c:pt>
                <c:pt idx="14" formatCode="General">
                  <c:v>78</c:v>
                </c:pt>
                <c:pt idx="15" formatCode="General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5-41AA-B4CF-4B4341625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9234848"/>
        <c:axId val="789222368"/>
      </c:barChart>
      <c:catAx>
        <c:axId val="78923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9222368"/>
        <c:crosses val="autoZero"/>
        <c:auto val="1"/>
        <c:lblAlgn val="ctr"/>
        <c:lblOffset val="100"/>
        <c:noMultiLvlLbl val="0"/>
      </c:catAx>
      <c:valAx>
        <c:axId val="7892223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923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Bakteriebiomasse, </a:t>
            </a:r>
            <a:r>
              <a:rPr lang="da-DK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µ</a:t>
            </a: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 C/g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Resultater!$J$7</c:f>
              <c:strCache>
                <c:ptCount val="1"/>
                <c:pt idx="0">
                  <c:v>Bakterier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Resultater!$K$5:$Z$6</c:f>
              <c:multiLvlStrCache>
                <c:ptCount val="16"/>
                <c:lvl>
                  <c:pt idx="0">
                    <c:v>Eurofins</c:v>
                  </c:pt>
                  <c:pt idx="1">
                    <c:v>microBIOMETER</c:v>
                  </c:pt>
                  <c:pt idx="2">
                    <c:v>SFW1</c:v>
                  </c:pt>
                  <c:pt idx="3">
                    <c:v>SFW2</c:v>
                  </c:pt>
                  <c:pt idx="4">
                    <c:v>Eurofins</c:v>
                  </c:pt>
                  <c:pt idx="5">
                    <c:v>microBIOMETER</c:v>
                  </c:pt>
                  <c:pt idx="6">
                    <c:v>SFW1</c:v>
                  </c:pt>
                  <c:pt idx="7">
                    <c:v>SFW2</c:v>
                  </c:pt>
                  <c:pt idx="8">
                    <c:v>Eurofins</c:v>
                  </c:pt>
                  <c:pt idx="9">
                    <c:v>microBIOMETER</c:v>
                  </c:pt>
                  <c:pt idx="10">
                    <c:v>SFW1</c:v>
                  </c:pt>
                  <c:pt idx="11">
                    <c:v>SFW2</c:v>
                  </c:pt>
                  <c:pt idx="12">
                    <c:v>Eurofins</c:v>
                  </c:pt>
                  <c:pt idx="13">
                    <c:v>microBIOMETER</c:v>
                  </c:pt>
                  <c:pt idx="14">
                    <c:v>SFW1</c:v>
                  </c:pt>
                  <c:pt idx="15">
                    <c:v>SFW2</c:v>
                  </c:pt>
                </c:lvl>
                <c:lvl>
                  <c:pt idx="0">
                    <c:v>Mark 1 - Øko Vårhavre</c:v>
                  </c:pt>
                  <c:pt idx="4">
                    <c:v>Mark 2 - Øko Spindehør</c:v>
                  </c:pt>
                  <c:pt idx="8">
                    <c:v>Mark 3 - Konv. Vinterhvede</c:v>
                  </c:pt>
                  <c:pt idx="12">
                    <c:v>Mark 4 - Våd eng m. afgræsning</c:v>
                  </c:pt>
                </c:lvl>
              </c:multiLvlStrCache>
            </c:multiLvlStrRef>
          </c:cat>
          <c:val>
            <c:numRef>
              <c:f>Resultater!$K$7:$Z$7</c:f>
              <c:numCache>
                <c:formatCode>0.0</c:formatCode>
                <c:ptCount val="16"/>
                <c:pt idx="0" formatCode="General">
                  <c:v>142</c:v>
                </c:pt>
                <c:pt idx="1">
                  <c:v>239.935</c:v>
                </c:pt>
                <c:pt idx="2" formatCode="General">
                  <c:v>1434</c:v>
                </c:pt>
                <c:pt idx="3" formatCode="General">
                  <c:v>528</c:v>
                </c:pt>
                <c:pt idx="4" formatCode="General">
                  <c:v>167</c:v>
                </c:pt>
                <c:pt idx="5">
                  <c:v>214.625</c:v>
                </c:pt>
                <c:pt idx="6" formatCode="General">
                  <c:v>1382</c:v>
                </c:pt>
                <c:pt idx="7" formatCode="General">
                  <c:v>337</c:v>
                </c:pt>
                <c:pt idx="8" formatCode="General">
                  <c:v>165</c:v>
                </c:pt>
                <c:pt idx="9" formatCode="General">
                  <c:v>235.56</c:v>
                </c:pt>
                <c:pt idx="10" formatCode="General">
                  <c:v>1279</c:v>
                </c:pt>
                <c:pt idx="11" formatCode="General">
                  <c:v>352</c:v>
                </c:pt>
                <c:pt idx="12" formatCode="General">
                  <c:v>444</c:v>
                </c:pt>
                <c:pt idx="13" formatCode="General">
                  <c:v>272.55999999999995</c:v>
                </c:pt>
                <c:pt idx="14" formatCode="General">
                  <c:v>1970</c:v>
                </c:pt>
                <c:pt idx="15" formatCode="General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3-4B4F-A2BD-BA3F0907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1246880"/>
        <c:axId val="751248800"/>
      </c:barChart>
      <c:catAx>
        <c:axId val="7512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51248800"/>
        <c:crosses val="autoZero"/>
        <c:auto val="1"/>
        <c:lblAlgn val="ctr"/>
        <c:lblOffset val="100"/>
        <c:noMultiLvlLbl val="0"/>
      </c:catAx>
      <c:valAx>
        <c:axId val="751248800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5124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AMF</a:t>
            </a:r>
            <a:r>
              <a:rPr lang="da-DK" baseline="0"/>
              <a:t> målt med hhv. DNA- og PLFA-metode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Resultater!$A$56</c:f>
              <c:strCache>
                <c:ptCount val="1"/>
                <c:pt idx="0">
                  <c:v>AMF, % af alle sekvenser (Soilytix)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Resultater!$B$55:$E$55</c:f>
              <c:strCache>
                <c:ptCount val="4"/>
                <c:pt idx="0">
                  <c:v>Jordprøve #1</c:v>
                </c:pt>
                <c:pt idx="1">
                  <c:v>Jordprøve #2</c:v>
                </c:pt>
                <c:pt idx="2">
                  <c:v>Jordprøve #3</c:v>
                </c:pt>
                <c:pt idx="3">
                  <c:v>Jordprøve #4</c:v>
                </c:pt>
              </c:strCache>
            </c:strRef>
          </c:cat>
          <c:val>
            <c:numRef>
              <c:f>Resultater!$B$56:$E$56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0-442E-BA10-B5961777D45F}"/>
            </c:ext>
          </c:extLst>
        </c:ser>
        <c:ser>
          <c:idx val="1"/>
          <c:order val="1"/>
          <c:tx>
            <c:strRef>
              <c:f>Resultater!$A$57</c:f>
              <c:strCache>
                <c:ptCount val="1"/>
                <c:pt idx="0">
                  <c:v>AMF (16:1ω5), mg PLFA/kg jord (Eurofins)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Resultater!$B$55:$E$55</c:f>
              <c:strCache>
                <c:ptCount val="4"/>
                <c:pt idx="0">
                  <c:v>Jordprøve #1</c:v>
                </c:pt>
                <c:pt idx="1">
                  <c:v>Jordprøve #2</c:v>
                </c:pt>
                <c:pt idx="2">
                  <c:v>Jordprøve #3</c:v>
                </c:pt>
                <c:pt idx="3">
                  <c:v>Jordprøve #4</c:v>
                </c:pt>
              </c:strCache>
            </c:strRef>
          </c:cat>
          <c:val>
            <c:numRef>
              <c:f>Resultater!$B$57:$E$57</c:f>
              <c:numCache>
                <c:formatCode>General</c:formatCode>
                <c:ptCount val="4"/>
                <c:pt idx="0">
                  <c:v>1.3</c:v>
                </c:pt>
                <c:pt idx="1">
                  <c:v>1.6</c:v>
                </c:pt>
                <c:pt idx="2">
                  <c:v>1.3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0-442E-BA10-B5961777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361504"/>
        <c:axId val="1206995664"/>
      </c:barChart>
      <c:catAx>
        <c:axId val="133436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206995664"/>
        <c:crosses val="autoZero"/>
        <c:auto val="1"/>
        <c:lblAlgn val="ctr"/>
        <c:lblOffset val="100"/>
        <c:noMultiLvlLbl val="0"/>
      </c:catAx>
      <c:valAx>
        <c:axId val="120699566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33436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128587</xdr:colOff>
      <xdr:row>13</xdr:row>
      <xdr:rowOff>147637</xdr:rowOff>
    </xdr:from>
    <xdr:to>
      <xdr:col>26</xdr:col>
      <xdr:colOff>433387</xdr:colOff>
      <xdr:row>31</xdr:row>
      <xdr:rowOff>147637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39836C5-3BD6-C76E-52FC-4AD9F4FDF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585787</xdr:colOff>
      <xdr:row>11</xdr:row>
      <xdr:rowOff>71437</xdr:rowOff>
    </xdr:from>
    <xdr:to>
      <xdr:col>17</xdr:col>
      <xdr:colOff>566737</xdr:colOff>
      <xdr:row>29</xdr:row>
      <xdr:rowOff>71437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9B8D9BD-E379-4F3C-9196-DDB1BFE2E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585787</xdr:colOff>
      <xdr:row>29</xdr:row>
      <xdr:rowOff>119062</xdr:rowOff>
    </xdr:from>
    <xdr:to>
      <xdr:col>17</xdr:col>
      <xdr:colOff>566737</xdr:colOff>
      <xdr:row>47</xdr:row>
      <xdr:rowOff>119062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D154174F-9CB8-4F23-B9F7-DB300B99C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204787</xdr:colOff>
      <xdr:row>58</xdr:row>
      <xdr:rowOff>23812</xdr:rowOff>
    </xdr:from>
    <xdr:to>
      <xdr:col>5</xdr:col>
      <xdr:colOff>795337</xdr:colOff>
      <xdr:row>76</xdr:row>
      <xdr:rowOff>23812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DBFFBFA-EE86-D709-92FF-DFA03057B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BC07-738A-4F8C-9CE2-661577701871}">
  <dimension ref="B3:L17"/>
  <sheetViews>
    <sheetView workbookViewId="0">
      <selection activeCell="I17" sqref="I17"/>
    </sheetView>
  </sheetViews>
  <sheetFormatPr defaultRowHeight="12" x14ac:dyDescent="0.2"/>
  <cols>
    <col min="2" max="2" width="12.85546875" customWidth="1"/>
    <col min="3" max="3" width="18.5703125" customWidth="1"/>
    <col min="4" max="4" width="16.7109375" customWidth="1"/>
    <col min="5" max="5" width="47.85546875" customWidth="1"/>
    <col min="6" max="6" width="11.28515625" bestFit="1" customWidth="1"/>
    <col min="7" max="7" width="12.28515625" bestFit="1" customWidth="1"/>
    <col min="8" max="8" width="12.28515625" customWidth="1"/>
    <col min="9" max="10" width="14.85546875" customWidth="1"/>
    <col min="12" max="12" width="12.28515625" bestFit="1" customWidth="1"/>
  </cols>
  <sheetData>
    <row r="3" spans="2:11" x14ac:dyDescent="0.2">
      <c r="B3" s="1" t="s">
        <v>26</v>
      </c>
    </row>
    <row r="4" spans="2:11" x14ac:dyDescent="0.2">
      <c r="C4" s="1" t="s">
        <v>0</v>
      </c>
      <c r="D4" s="1" t="s">
        <v>3</v>
      </c>
      <c r="E4" s="1" t="s">
        <v>1</v>
      </c>
      <c r="F4" s="1" t="s">
        <v>15</v>
      </c>
      <c r="G4" s="1" t="s">
        <v>20</v>
      </c>
      <c r="H4" s="1" t="s">
        <v>23</v>
      </c>
      <c r="I4" s="1" t="s">
        <v>2</v>
      </c>
      <c r="J4" s="1"/>
      <c r="K4" s="1" t="s">
        <v>18</v>
      </c>
    </row>
    <row r="5" spans="2:11" ht="24" x14ac:dyDescent="0.2">
      <c r="C5" s="1" t="s">
        <v>10</v>
      </c>
      <c r="D5" s="7" t="s">
        <v>4</v>
      </c>
      <c r="E5" s="8" t="s">
        <v>5</v>
      </c>
      <c r="F5" s="9">
        <v>300</v>
      </c>
      <c r="G5" s="10">
        <f>F5*7.5</f>
        <v>2250</v>
      </c>
      <c r="H5" s="10"/>
    </row>
    <row r="6" spans="2:11" ht="24" x14ac:dyDescent="0.2">
      <c r="D6" s="7" t="s">
        <v>6</v>
      </c>
      <c r="E6" s="11" t="s">
        <v>7</v>
      </c>
      <c r="F6" s="9">
        <v>400</v>
      </c>
      <c r="G6" s="10">
        <f>F6*7.5</f>
        <v>3000</v>
      </c>
      <c r="H6" s="10"/>
    </row>
    <row r="7" spans="2:11" ht="36" x14ac:dyDescent="0.2">
      <c r="D7" t="s">
        <v>8</v>
      </c>
      <c r="E7" s="2" t="s">
        <v>9</v>
      </c>
      <c r="F7" s="4">
        <v>550</v>
      </c>
      <c r="G7" s="5">
        <f>F7*7.5</f>
        <v>4125</v>
      </c>
      <c r="H7" s="5"/>
    </row>
    <row r="9" spans="2:11" x14ac:dyDescent="0.2">
      <c r="C9" s="1" t="s">
        <v>13</v>
      </c>
      <c r="D9" t="s">
        <v>12</v>
      </c>
      <c r="E9" t="s">
        <v>14</v>
      </c>
      <c r="F9" s="6">
        <v>8.9</v>
      </c>
      <c r="G9" s="5">
        <f>F9*8.74</f>
        <v>77.786000000000001</v>
      </c>
      <c r="H9" s="5"/>
    </row>
    <row r="11" spans="2:11" x14ac:dyDescent="0.2">
      <c r="C11" t="s">
        <v>21</v>
      </c>
      <c r="D11" t="s">
        <v>16</v>
      </c>
      <c r="E11" t="s">
        <v>11</v>
      </c>
      <c r="F11" s="3">
        <v>900</v>
      </c>
      <c r="G11" s="5">
        <f>F11</f>
        <v>900</v>
      </c>
      <c r="H11" s="5"/>
      <c r="I11">
        <v>700</v>
      </c>
    </row>
    <row r="13" spans="2:11" x14ac:dyDescent="0.2">
      <c r="C13" t="s">
        <v>22</v>
      </c>
      <c r="D13" t="s">
        <v>16</v>
      </c>
      <c r="E13" t="s">
        <v>11</v>
      </c>
      <c r="F13" s="3">
        <v>900</v>
      </c>
      <c r="G13" s="5">
        <f>F13</f>
        <v>900</v>
      </c>
      <c r="H13" s="5" t="s">
        <v>25</v>
      </c>
      <c r="I13">
        <v>700</v>
      </c>
    </row>
    <row r="15" spans="2:11" x14ac:dyDescent="0.2">
      <c r="C15" t="s">
        <v>17</v>
      </c>
      <c r="F15" s="5">
        <v>2167</v>
      </c>
      <c r="G15" s="5">
        <f>F15</f>
        <v>2167</v>
      </c>
      <c r="H15" s="5" t="s">
        <v>24</v>
      </c>
      <c r="I15">
        <v>700</v>
      </c>
    </row>
    <row r="17" spans="3:12" x14ac:dyDescent="0.2">
      <c r="C17" t="s">
        <v>19</v>
      </c>
      <c r="G17" s="5">
        <f>SUM(G7:G16)</f>
        <v>8169.7860000000001</v>
      </c>
      <c r="H17" s="5"/>
      <c r="I17" s="5">
        <f>SUM(I7:I15)</f>
        <v>2100</v>
      </c>
      <c r="J17" s="5"/>
      <c r="K17">
        <v>4</v>
      </c>
      <c r="L17" s="5">
        <f>G17*K17+I17</f>
        <v>34779.144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64B6-BEFA-4658-9CDF-C90C03DFBA9D}">
  <dimension ref="A1:Z57"/>
  <sheetViews>
    <sheetView tabSelected="1" topLeftCell="A43" workbookViewId="0">
      <selection activeCell="H64" sqref="H64"/>
    </sheetView>
  </sheetViews>
  <sheetFormatPr defaultRowHeight="12" x14ac:dyDescent="0.2"/>
  <cols>
    <col min="1" max="1" width="22.7109375" customWidth="1"/>
    <col min="2" max="2" width="11.42578125" customWidth="1"/>
    <col min="3" max="3" width="10.7109375" customWidth="1"/>
    <col min="4" max="5" width="7.42578125" customWidth="1"/>
    <col min="6" max="7" width="12.5703125" customWidth="1"/>
    <col min="8" max="8" width="19.42578125" customWidth="1"/>
    <col min="12" max="12" width="14" customWidth="1"/>
  </cols>
  <sheetData>
    <row r="1" spans="1:26" x14ac:dyDescent="0.2">
      <c r="B1" s="14" t="s">
        <v>47</v>
      </c>
      <c r="C1" s="14" t="s">
        <v>48</v>
      </c>
      <c r="D1" s="14" t="s">
        <v>49</v>
      </c>
      <c r="E1" s="14"/>
      <c r="F1" s="19" t="s">
        <v>50</v>
      </c>
      <c r="G1" s="19"/>
      <c r="H1" s="19"/>
    </row>
    <row r="2" spans="1:26" s="1" customFormat="1" x14ac:dyDescent="0.2">
      <c r="A2" s="1" t="s">
        <v>36</v>
      </c>
      <c r="B2" s="1" t="s">
        <v>27</v>
      </c>
      <c r="C2" s="1" t="s">
        <v>28</v>
      </c>
      <c r="D2" s="18" t="s">
        <v>29</v>
      </c>
      <c r="E2" s="18"/>
      <c r="F2" s="18" t="s">
        <v>21</v>
      </c>
      <c r="G2" s="18"/>
      <c r="H2" s="1" t="s">
        <v>30</v>
      </c>
    </row>
    <row r="3" spans="1:26" x14ac:dyDescent="0.2">
      <c r="D3" t="s">
        <v>43</v>
      </c>
      <c r="E3" t="s">
        <v>44</v>
      </c>
      <c r="F3" t="s">
        <v>45</v>
      </c>
      <c r="G3" t="s">
        <v>46</v>
      </c>
      <c r="H3" t="s">
        <v>45</v>
      </c>
    </row>
    <row r="4" spans="1:26" x14ac:dyDescent="0.2">
      <c r="A4" t="s">
        <v>31</v>
      </c>
      <c r="B4">
        <v>6.8</v>
      </c>
      <c r="C4">
        <v>7.3</v>
      </c>
    </row>
    <row r="5" spans="1:26" x14ac:dyDescent="0.2">
      <c r="A5" t="s">
        <v>32</v>
      </c>
      <c r="B5">
        <v>7</v>
      </c>
      <c r="C5">
        <v>8.4</v>
      </c>
      <c r="K5" s="17" t="s">
        <v>53</v>
      </c>
      <c r="L5" s="17"/>
      <c r="M5" s="17"/>
      <c r="N5" s="17"/>
      <c r="O5" s="17" t="s">
        <v>54</v>
      </c>
      <c r="P5" s="17"/>
      <c r="Q5" s="17"/>
      <c r="R5" s="17"/>
      <c r="S5" s="17" t="s">
        <v>55</v>
      </c>
      <c r="T5" s="17"/>
      <c r="U5" s="17"/>
      <c r="V5" s="17"/>
      <c r="W5" s="17" t="s">
        <v>56</v>
      </c>
      <c r="X5" s="17"/>
      <c r="Y5" s="17"/>
      <c r="Z5" s="17"/>
    </row>
    <row r="6" spans="1:26" x14ac:dyDescent="0.2">
      <c r="A6" t="s">
        <v>33</v>
      </c>
      <c r="B6">
        <v>4.9000000000000004</v>
      </c>
      <c r="C6">
        <v>5.8</v>
      </c>
      <c r="K6" t="s">
        <v>27</v>
      </c>
      <c r="L6" t="s">
        <v>29</v>
      </c>
      <c r="M6" t="s">
        <v>51</v>
      </c>
      <c r="N6" t="s">
        <v>52</v>
      </c>
      <c r="O6" t="s">
        <v>27</v>
      </c>
      <c r="P6" t="s">
        <v>29</v>
      </c>
      <c r="Q6" t="s">
        <v>51</v>
      </c>
      <c r="R6" t="s">
        <v>52</v>
      </c>
      <c r="S6" t="s">
        <v>27</v>
      </c>
      <c r="T6" t="s">
        <v>29</v>
      </c>
      <c r="U6" t="s">
        <v>51</v>
      </c>
      <c r="V6" t="s">
        <v>52</v>
      </c>
      <c r="W6" t="s">
        <v>27</v>
      </c>
      <c r="X6" t="s">
        <v>29</v>
      </c>
      <c r="Y6" t="s">
        <v>51</v>
      </c>
      <c r="Z6" t="s">
        <v>52</v>
      </c>
    </row>
    <row r="7" spans="1:26" x14ac:dyDescent="0.2">
      <c r="A7" t="s">
        <v>34</v>
      </c>
      <c r="B7">
        <v>2.4300000000000002</v>
      </c>
      <c r="C7">
        <v>3.4</v>
      </c>
      <c r="J7" t="s">
        <v>57</v>
      </c>
      <c r="K7">
        <v>142</v>
      </c>
      <c r="L7" s="15">
        <f>(D9+E9)/2</f>
        <v>239.935</v>
      </c>
      <c r="M7">
        <v>1434</v>
      </c>
      <c r="N7">
        <v>528</v>
      </c>
      <c r="O7">
        <v>167</v>
      </c>
      <c r="P7" s="15">
        <f>(D20+E20)/2</f>
        <v>214.625</v>
      </c>
      <c r="Q7">
        <v>1382</v>
      </c>
      <c r="R7">
        <v>337</v>
      </c>
      <c r="S7">
        <v>165</v>
      </c>
      <c r="T7">
        <f>(D31+E31)/2</f>
        <v>235.56</v>
      </c>
      <c r="U7">
        <v>1279</v>
      </c>
      <c r="V7">
        <v>352</v>
      </c>
      <c r="W7">
        <v>444</v>
      </c>
      <c r="X7">
        <f>(D42+E42)/2</f>
        <v>272.55999999999995</v>
      </c>
      <c r="Y7">
        <v>1970</v>
      </c>
      <c r="Z7">
        <v>660</v>
      </c>
    </row>
    <row r="8" spans="1:26" x14ac:dyDescent="0.2">
      <c r="A8" t="s">
        <v>37</v>
      </c>
      <c r="B8">
        <v>365</v>
      </c>
      <c r="D8">
        <v>417</v>
      </c>
      <c r="E8">
        <v>379</v>
      </c>
      <c r="J8" t="s">
        <v>58</v>
      </c>
      <c r="K8">
        <v>141</v>
      </c>
      <c r="L8" s="15">
        <f>(D10+E10)/2</f>
        <v>158.065</v>
      </c>
      <c r="M8">
        <v>35</v>
      </c>
      <c r="N8">
        <v>110</v>
      </c>
      <c r="O8">
        <v>178</v>
      </c>
      <c r="P8" s="15">
        <f>(D21+E21)/2</f>
        <v>134.375</v>
      </c>
      <c r="Q8">
        <v>40</v>
      </c>
      <c r="R8">
        <v>120</v>
      </c>
      <c r="S8">
        <v>151</v>
      </c>
      <c r="T8">
        <f t="shared" ref="T8" si="0">(D32+E32)/2</f>
        <v>183.44</v>
      </c>
      <c r="U8">
        <v>30</v>
      </c>
      <c r="V8">
        <v>29</v>
      </c>
      <c r="W8">
        <v>336</v>
      </c>
      <c r="X8">
        <f t="shared" ref="X8" si="1">(D43+E43)/2</f>
        <v>329.44</v>
      </c>
      <c r="Y8">
        <v>78</v>
      </c>
      <c r="Z8">
        <v>92</v>
      </c>
    </row>
    <row r="9" spans="1:26" x14ac:dyDescent="0.2">
      <c r="A9" t="s">
        <v>38</v>
      </c>
      <c r="B9">
        <v>142</v>
      </c>
      <c r="D9" s="13">
        <f>417*0.56</f>
        <v>233.52</v>
      </c>
      <c r="E9" s="13">
        <f>E8*0.65</f>
        <v>246.35</v>
      </c>
      <c r="F9">
        <v>1434</v>
      </c>
      <c r="G9">
        <v>1002</v>
      </c>
      <c r="H9">
        <v>528</v>
      </c>
      <c r="J9" t="s">
        <v>59</v>
      </c>
      <c r="K9" s="16">
        <f t="shared" ref="K9:Z9" si="2">K8/K7</f>
        <v>0.99295774647887325</v>
      </c>
      <c r="L9" s="16">
        <f t="shared" si="2"/>
        <v>0.65878258695063241</v>
      </c>
      <c r="M9" s="16">
        <f t="shared" si="2"/>
        <v>2.4407252440725245E-2</v>
      </c>
      <c r="N9" s="16">
        <f t="shared" si="2"/>
        <v>0.20833333333333334</v>
      </c>
      <c r="O9" s="16">
        <f t="shared" si="2"/>
        <v>1.0658682634730539</v>
      </c>
      <c r="P9" s="16">
        <f t="shared" si="2"/>
        <v>0.62609202096680261</v>
      </c>
      <c r="Q9" s="16">
        <f t="shared" si="2"/>
        <v>2.8943560057887119E-2</v>
      </c>
      <c r="R9" s="16">
        <f t="shared" si="2"/>
        <v>0.35608308605341249</v>
      </c>
      <c r="S9" s="16">
        <f t="shared" si="2"/>
        <v>0.91515151515151516</v>
      </c>
      <c r="T9" s="16">
        <f t="shared" si="2"/>
        <v>0.77874002377313634</v>
      </c>
      <c r="U9" s="16">
        <f t="shared" si="2"/>
        <v>2.3455824863174355E-2</v>
      </c>
      <c r="V9" s="16">
        <f t="shared" si="2"/>
        <v>8.2386363636363633E-2</v>
      </c>
      <c r="W9" s="16">
        <f t="shared" si="2"/>
        <v>0.7567567567567568</v>
      </c>
      <c r="X9" s="16">
        <f t="shared" si="2"/>
        <v>1.2086879953037866</v>
      </c>
      <c r="Y9" s="16">
        <f t="shared" si="2"/>
        <v>3.9593908629441621E-2</v>
      </c>
      <c r="Z9" s="16">
        <f t="shared" si="2"/>
        <v>0.1393939393939394</v>
      </c>
    </row>
    <row r="10" spans="1:26" x14ac:dyDescent="0.2">
      <c r="A10" t="s">
        <v>39</v>
      </c>
      <c r="B10">
        <v>141</v>
      </c>
      <c r="D10" s="13">
        <f>417*0.44</f>
        <v>183.48</v>
      </c>
      <c r="E10" s="13">
        <f>E8*0.35</f>
        <v>132.65</v>
      </c>
      <c r="F10">
        <v>35</v>
      </c>
      <c r="G10">
        <v>7</v>
      </c>
      <c r="H10">
        <v>110</v>
      </c>
    </row>
    <row r="11" spans="1:26" x14ac:dyDescent="0.2">
      <c r="A11" t="s">
        <v>35</v>
      </c>
      <c r="B11" s="12">
        <v>1</v>
      </c>
      <c r="D11">
        <v>0.8</v>
      </c>
      <c r="E11">
        <v>0.5</v>
      </c>
      <c r="F11">
        <v>2.4E-2</v>
      </c>
      <c r="G11">
        <v>0.01</v>
      </c>
      <c r="H11">
        <v>0.21</v>
      </c>
    </row>
    <row r="13" spans="1:26" s="1" customFormat="1" x14ac:dyDescent="0.2">
      <c r="A13" s="1" t="s">
        <v>40</v>
      </c>
      <c r="B13" s="1" t="s">
        <v>27</v>
      </c>
      <c r="C13" s="1" t="s">
        <v>28</v>
      </c>
      <c r="D13" s="18" t="s">
        <v>29</v>
      </c>
      <c r="E13" s="18"/>
      <c r="F13" s="18" t="s">
        <v>21</v>
      </c>
      <c r="G13" s="18"/>
      <c r="H13" s="1" t="s">
        <v>30</v>
      </c>
    </row>
    <row r="14" spans="1:26" x14ac:dyDescent="0.2">
      <c r="D14" t="s">
        <v>43</v>
      </c>
      <c r="E14" t="s">
        <v>44</v>
      </c>
      <c r="F14" t="s">
        <v>45</v>
      </c>
      <c r="G14" t="s">
        <v>46</v>
      </c>
    </row>
    <row r="15" spans="1:26" x14ac:dyDescent="0.2">
      <c r="A15" t="s">
        <v>31</v>
      </c>
      <c r="B15">
        <v>7.2</v>
      </c>
      <c r="C15">
        <v>7.4</v>
      </c>
    </row>
    <row r="16" spans="1:26" x14ac:dyDescent="0.2">
      <c r="A16" t="s">
        <v>32</v>
      </c>
      <c r="B16">
        <v>6</v>
      </c>
      <c r="C16">
        <v>12.4</v>
      </c>
    </row>
    <row r="17" spans="1:8" x14ac:dyDescent="0.2">
      <c r="A17" t="s">
        <v>33</v>
      </c>
      <c r="B17">
        <v>6</v>
      </c>
      <c r="C17">
        <v>6.1</v>
      </c>
    </row>
    <row r="18" spans="1:8" x14ac:dyDescent="0.2">
      <c r="A18" t="s">
        <v>34</v>
      </c>
      <c r="B18">
        <v>3.12</v>
      </c>
      <c r="C18">
        <v>3.5</v>
      </c>
    </row>
    <row r="19" spans="1:8" x14ac:dyDescent="0.2">
      <c r="A19" t="s">
        <v>37</v>
      </c>
      <c r="B19">
        <v>443</v>
      </c>
      <c r="D19">
        <v>347</v>
      </c>
      <c r="E19">
        <v>351</v>
      </c>
    </row>
    <row r="20" spans="1:8" x14ac:dyDescent="0.2">
      <c r="A20" t="s">
        <v>38</v>
      </c>
      <c r="B20">
        <v>167</v>
      </c>
      <c r="D20" s="13">
        <f>D19*0.62</f>
        <v>215.14</v>
      </c>
      <c r="E20" s="13">
        <f>E19*0.61</f>
        <v>214.10999999999999</v>
      </c>
      <c r="F20">
        <v>1382</v>
      </c>
      <c r="G20">
        <v>1685</v>
      </c>
      <c r="H20">
        <v>337</v>
      </c>
    </row>
    <row r="21" spans="1:8" x14ac:dyDescent="0.2">
      <c r="A21" t="s">
        <v>39</v>
      </c>
      <c r="B21">
        <v>178</v>
      </c>
      <c r="D21" s="13">
        <f>D19*0.38</f>
        <v>131.86000000000001</v>
      </c>
      <c r="E21" s="13">
        <f>E19*0.39</f>
        <v>136.89000000000001</v>
      </c>
      <c r="F21">
        <v>40</v>
      </c>
      <c r="G21">
        <v>54</v>
      </c>
      <c r="H21">
        <v>120</v>
      </c>
    </row>
    <row r="22" spans="1:8" x14ac:dyDescent="0.2">
      <c r="A22" t="s">
        <v>35</v>
      </c>
      <c r="B22">
        <v>1.1000000000000001</v>
      </c>
      <c r="D22">
        <v>0.6</v>
      </c>
      <c r="E22">
        <v>0.6</v>
      </c>
      <c r="F22">
        <v>2.9000000000000001E-2</v>
      </c>
      <c r="G22">
        <v>0.03</v>
      </c>
      <c r="H22">
        <v>0.35</v>
      </c>
    </row>
    <row r="24" spans="1:8" s="1" customFormat="1" x14ac:dyDescent="0.2">
      <c r="A24" s="1" t="s">
        <v>41</v>
      </c>
      <c r="B24" s="1" t="s">
        <v>27</v>
      </c>
      <c r="C24" s="1" t="s">
        <v>28</v>
      </c>
      <c r="D24" s="18" t="s">
        <v>29</v>
      </c>
      <c r="E24" s="18"/>
      <c r="F24" s="18" t="s">
        <v>21</v>
      </c>
      <c r="G24" s="18"/>
      <c r="H24" s="1" t="s">
        <v>30</v>
      </c>
    </row>
    <row r="25" spans="1:8" x14ac:dyDescent="0.2">
      <c r="D25" t="s">
        <v>43</v>
      </c>
      <c r="E25" t="s">
        <v>44</v>
      </c>
      <c r="F25" t="s">
        <v>45</v>
      </c>
      <c r="G25" t="s">
        <v>46</v>
      </c>
    </row>
    <row r="26" spans="1:8" x14ac:dyDescent="0.2">
      <c r="A26" t="s">
        <v>31</v>
      </c>
      <c r="B26">
        <v>7.1</v>
      </c>
      <c r="C26">
        <v>7.3</v>
      </c>
    </row>
    <row r="27" spans="1:8" x14ac:dyDescent="0.2">
      <c r="A27" t="s">
        <v>32</v>
      </c>
      <c r="B27">
        <v>5</v>
      </c>
      <c r="C27">
        <v>9</v>
      </c>
    </row>
    <row r="28" spans="1:8" x14ac:dyDescent="0.2">
      <c r="A28" t="s">
        <v>33</v>
      </c>
      <c r="B28">
        <v>4.3</v>
      </c>
      <c r="C28">
        <v>4.5</v>
      </c>
    </row>
    <row r="29" spans="1:8" x14ac:dyDescent="0.2">
      <c r="A29" t="s">
        <v>34</v>
      </c>
      <c r="B29">
        <v>2.0499999999999998</v>
      </c>
      <c r="C29">
        <v>2.6</v>
      </c>
    </row>
    <row r="30" spans="1:8" x14ac:dyDescent="0.2">
      <c r="A30" t="s">
        <v>37</v>
      </c>
      <c r="B30">
        <v>421</v>
      </c>
      <c r="D30">
        <v>466</v>
      </c>
      <c r="E30">
        <v>372</v>
      </c>
    </row>
    <row r="31" spans="1:8" x14ac:dyDescent="0.2">
      <c r="A31" t="s">
        <v>38</v>
      </c>
      <c r="B31">
        <v>165</v>
      </c>
      <c r="D31" s="13">
        <f>D30*0.54</f>
        <v>251.64000000000001</v>
      </c>
      <c r="E31" s="13">
        <f>E30*0.59</f>
        <v>219.48</v>
      </c>
      <c r="F31">
        <v>1279</v>
      </c>
      <c r="G31">
        <v>1598</v>
      </c>
      <c r="H31">
        <v>352</v>
      </c>
    </row>
    <row r="32" spans="1:8" x14ac:dyDescent="0.2">
      <c r="A32" t="s">
        <v>39</v>
      </c>
      <c r="B32">
        <v>151</v>
      </c>
      <c r="D32" s="13">
        <f>D30*0.46</f>
        <v>214.36</v>
      </c>
      <c r="E32" s="13">
        <f>E30*0.41</f>
        <v>152.51999999999998</v>
      </c>
      <c r="F32">
        <v>30</v>
      </c>
      <c r="G32">
        <v>38</v>
      </c>
      <c r="H32">
        <v>29</v>
      </c>
    </row>
    <row r="33" spans="1:8" x14ac:dyDescent="0.2">
      <c r="A33" t="s">
        <v>35</v>
      </c>
      <c r="B33">
        <v>0.9</v>
      </c>
      <c r="D33">
        <v>0.9</v>
      </c>
      <c r="E33">
        <v>0.7</v>
      </c>
      <c r="F33">
        <v>2.4E-2</v>
      </c>
      <c r="G33">
        <v>0.02</v>
      </c>
      <c r="H33">
        <v>0.08</v>
      </c>
    </row>
    <row r="35" spans="1:8" s="1" customFormat="1" x14ac:dyDescent="0.2">
      <c r="A35" s="1" t="s">
        <v>42</v>
      </c>
      <c r="B35" s="1" t="s">
        <v>27</v>
      </c>
      <c r="C35" s="1" t="s">
        <v>28</v>
      </c>
      <c r="D35" s="18" t="s">
        <v>29</v>
      </c>
      <c r="E35" s="18"/>
      <c r="F35" s="18" t="s">
        <v>21</v>
      </c>
      <c r="G35" s="18"/>
      <c r="H35" s="1" t="s">
        <v>30</v>
      </c>
    </row>
    <row r="36" spans="1:8" x14ac:dyDescent="0.2">
      <c r="D36" t="s">
        <v>43</v>
      </c>
      <c r="E36" t="s">
        <v>44</v>
      </c>
      <c r="F36" t="s">
        <v>45</v>
      </c>
      <c r="G36" t="s">
        <v>46</v>
      </c>
    </row>
    <row r="37" spans="1:8" x14ac:dyDescent="0.2">
      <c r="A37" t="s">
        <v>31</v>
      </c>
      <c r="B37">
        <v>6.1</v>
      </c>
      <c r="C37">
        <v>6.5</v>
      </c>
    </row>
    <row r="38" spans="1:8" x14ac:dyDescent="0.2">
      <c r="A38" t="s">
        <v>32</v>
      </c>
      <c r="B38">
        <v>6</v>
      </c>
      <c r="C38">
        <v>10.4</v>
      </c>
    </row>
    <row r="39" spans="1:8" x14ac:dyDescent="0.2">
      <c r="A39" t="s">
        <v>33</v>
      </c>
      <c r="B39">
        <v>8.6999999999999993</v>
      </c>
      <c r="C39">
        <v>12.2</v>
      </c>
    </row>
    <row r="40" spans="1:8" x14ac:dyDescent="0.2">
      <c r="A40" t="s">
        <v>34</v>
      </c>
      <c r="B40">
        <v>4.4000000000000004</v>
      </c>
      <c r="C40">
        <v>7.1</v>
      </c>
    </row>
    <row r="41" spans="1:8" x14ac:dyDescent="0.2">
      <c r="A41" t="s">
        <v>37</v>
      </c>
      <c r="B41">
        <v>1121</v>
      </c>
      <c r="D41">
        <v>656</v>
      </c>
      <c r="E41">
        <v>548</v>
      </c>
    </row>
    <row r="42" spans="1:8" x14ac:dyDescent="0.2">
      <c r="A42" t="s">
        <v>38</v>
      </c>
      <c r="B42">
        <v>444</v>
      </c>
      <c r="D42" s="13">
        <f>D41*0.43</f>
        <v>282.08</v>
      </c>
      <c r="E42" s="13">
        <f>E41*0.48</f>
        <v>263.03999999999996</v>
      </c>
      <c r="F42">
        <v>1970</v>
      </c>
      <c r="G42">
        <v>760</v>
      </c>
      <c r="H42">
        <v>660</v>
      </c>
    </row>
    <row r="43" spans="1:8" x14ac:dyDescent="0.2">
      <c r="A43" t="s">
        <v>39</v>
      </c>
      <c r="B43">
        <v>336</v>
      </c>
      <c r="D43" s="13">
        <f>D41*0.57</f>
        <v>373.91999999999996</v>
      </c>
      <c r="E43" s="13">
        <f>E41*0.52</f>
        <v>284.96000000000004</v>
      </c>
      <c r="F43">
        <v>78</v>
      </c>
      <c r="G43">
        <v>39</v>
      </c>
      <c r="H43">
        <v>92</v>
      </c>
    </row>
    <row r="44" spans="1:8" x14ac:dyDescent="0.2">
      <c r="A44" t="s">
        <v>35</v>
      </c>
      <c r="B44">
        <v>0.8</v>
      </c>
      <c r="D44">
        <v>1.3</v>
      </c>
      <c r="E44">
        <v>1.1000000000000001</v>
      </c>
      <c r="F44">
        <v>3.9E-2</v>
      </c>
      <c r="G44">
        <v>0.05</v>
      </c>
      <c r="H44">
        <v>0.14000000000000001</v>
      </c>
    </row>
    <row r="48" spans="1:8" x14ac:dyDescent="0.2">
      <c r="A48" t="s">
        <v>62</v>
      </c>
      <c r="B48" t="s">
        <v>61</v>
      </c>
    </row>
    <row r="49" spans="1:5" x14ac:dyDescent="0.2">
      <c r="A49">
        <v>1</v>
      </c>
      <c r="B49">
        <v>0</v>
      </c>
    </row>
    <row r="50" spans="1:5" x14ac:dyDescent="0.2">
      <c r="A50">
        <v>2</v>
      </c>
      <c r="B50">
        <v>0</v>
      </c>
    </row>
    <row r="51" spans="1:5" x14ac:dyDescent="0.2">
      <c r="A51">
        <v>3</v>
      </c>
      <c r="B51">
        <v>0</v>
      </c>
    </row>
    <row r="52" spans="1:5" x14ac:dyDescent="0.2">
      <c r="A52">
        <v>4</v>
      </c>
      <c r="B52" s="20" t="s">
        <v>60</v>
      </c>
    </row>
    <row r="55" spans="1:5" x14ac:dyDescent="0.2">
      <c r="B55" t="s">
        <v>63</v>
      </c>
      <c r="C55" t="s">
        <v>64</v>
      </c>
      <c r="D55" t="s">
        <v>65</v>
      </c>
      <c r="E55" t="s">
        <v>66</v>
      </c>
    </row>
    <row r="56" spans="1:5" x14ac:dyDescent="0.2">
      <c r="A56" t="s">
        <v>68</v>
      </c>
      <c r="B56">
        <v>0</v>
      </c>
      <c r="C56">
        <v>0</v>
      </c>
      <c r="D56">
        <v>0</v>
      </c>
      <c r="E56">
        <v>0.17</v>
      </c>
    </row>
    <row r="57" spans="1:5" x14ac:dyDescent="0.2">
      <c r="A57" t="s">
        <v>67</v>
      </c>
      <c r="B57">
        <v>1.3</v>
      </c>
      <c r="C57">
        <v>1.6</v>
      </c>
      <c r="D57">
        <v>1.3</v>
      </c>
      <c r="E57">
        <v>3</v>
      </c>
    </row>
  </sheetData>
  <mergeCells count="13">
    <mergeCell ref="F1:H1"/>
    <mergeCell ref="D2:E2"/>
    <mergeCell ref="F2:G2"/>
    <mergeCell ref="D13:E13"/>
    <mergeCell ref="F13:G13"/>
    <mergeCell ref="K5:N5"/>
    <mergeCell ref="O5:R5"/>
    <mergeCell ref="S5:V5"/>
    <mergeCell ref="W5:Z5"/>
    <mergeCell ref="D35:E35"/>
    <mergeCell ref="F35:G35"/>
    <mergeCell ref="D24:E24"/>
    <mergeCell ref="F24:G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z R y B W + M s g W O m A A A A 9 w A A A B I A H A B D b 2 5 m a W c v U G F j a 2 F n Z S 5 4 b W w g o h g A K K A U A A A A A A A A A A A A A A A A A A A A A A A A A A A A h Y 9 N D o I w G E S v Q r q n f 5 q o 5 K M s d K c k J i b G b V M q N E I x U C x 3 c + G R v I I Y R d 2 5 n D d v M X O / 3 i D p q z K 4 6 K Y 1 t Y 0 R w x Q F 2 q o 6 M z a P U e e O 4 R w l A r Z S n W S u g 0 G 2 b d S 3 W Y w K 5 8 4 R I d 5 7 7 C e 4 b n L C K W X k k G 5 2 q t C V R B / Z / J d D Y 1 s n r d J I w P 4 1 R n D M p j P M K F 9 g C m S k k B r 7 N f g w + N n + Q F h 2 p e s a L T I Z r t Z A x g j k f U I 8 A F B L A w Q U A A I A C A D N H I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R y B W y i K R 7 g O A A A A E Q A A A B M A H A B G b 3 J t d W x h c y 9 T Z W N 0 a W 9 u M S 5 t I K I Y A C i g F A A A A A A A A A A A A A A A A A A A A A A A A A A A A C t O T S 7 J z M 9 T C I b Q h t Y A U E s B A i 0 A F A A C A A g A z R y B W + M s g W O m A A A A 9 w A A A B I A A A A A A A A A A A A A A A A A A A A A A E N v b m Z p Z y 9 Q Y W N r Y W d l L n h t b F B L A Q I t A B Q A A g A I A M 0 c g V s P y u m r p A A A A O k A A A A T A A A A A A A A A A A A A A A A A P I A A A B b Q 2 9 u d G V u d F 9 U e X B l c 1 0 u e G 1 s U E s B A i 0 A F A A C A A g A z R y B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0 y P E v d M b 9 B k n B d T Y V l N l k A A A A A A g A A A A A A E G Y A A A A B A A A g A A A A L 6 z Q u 6 C F 9 U l 5 r L m 7 s R a f Z W n w 9 r / e y e 3 8 0 E W U d X t p I s I A A A A A D o A A A A A C A A A g A A A A u h 9 C h N V B m 6 e 5 K L h U a x n 4 t j k 2 A J o / Q l w j V 2 O Z Z + 1 e B f 9 Q A A A A X I 4 R l H d 8 L W Y n j I r + 0 f + 5 O I o y B d E o L J 4 6 A e N S y k t W / f O V J A u V E A b F 0 n E 3 A j X 8 d D + 1 d y 4 L g p r n R y G + 4 e 5 g D W B s 6 W V F S w b 6 p R g Z G C A J G j y J g A B A A A A A 8 9 l / b N k H d j 3 u M H X z u A A v Q / P s v N X N 4 5 4 + r 9 g P g a n u B l L r K e H Q 3 L h 5 B V 6 C p g 0 s k f 4 9 X o k Z 3 1 q J i E 7 J p e 9 L w Z Z J O g = = < / D a t a M a s h u p > 
</file>

<file path=customXml/itemProps1.xml><?xml version="1.0" encoding="utf-8"?>
<ds:datastoreItem xmlns:ds="http://schemas.openxmlformats.org/officeDocument/2006/customXml" ds:itemID="{2378B860-7D1B-4894-92A3-54DF43CE5B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Priser</vt:lpstr>
      <vt:lpstr>Resultater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Aagaard Enni</dc:creator>
  <cp:lastModifiedBy>Jon Aagaard Enni</cp:lastModifiedBy>
  <dcterms:created xsi:type="dcterms:W3CDTF">2025-05-27T07:22:35Z</dcterms:created>
  <dcterms:modified xsi:type="dcterms:W3CDTF">2025-12-02T13:07:26Z</dcterms:modified>
</cp:coreProperties>
</file>