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mh\Desktop\"/>
    </mc:Choice>
  </mc:AlternateContent>
  <xr:revisionPtr revIDLastSave="0" documentId="8_{8AFBCE0A-681B-4A97-A248-375EA770D3AE}" xr6:coauthVersionLast="47" xr6:coauthVersionMax="47" xr10:uidLastSave="{00000000-0000-0000-0000-000000000000}"/>
  <bookViews>
    <workbookView xWindow="-120" yWindow="-120" windowWidth="29040" windowHeight="15225" xr2:uid="{FD5461AD-9ADE-4E6E-BD6D-F1E510F9329C}"/>
  </bookViews>
  <sheets>
    <sheet name="Beregner" sheetId="1" r:id="rId1"/>
    <sheet name="Data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1" i="1" l="1"/>
  <c r="J96" i="2"/>
  <c r="J95" i="2"/>
  <c r="J94" i="2"/>
  <c r="J93" i="2"/>
  <c r="J92" i="2"/>
  <c r="J91" i="2"/>
  <c r="I30" i="1"/>
  <c r="I31" i="1"/>
  <c r="I32" i="1"/>
  <c r="I33" i="1"/>
  <c r="I29" i="1"/>
  <c r="J5" i="2"/>
  <c r="L29" i="1"/>
  <c r="G29" i="1"/>
  <c r="I19" i="1"/>
  <c r="G19" i="1"/>
  <c r="I18" i="1"/>
  <c r="L30" i="1"/>
  <c r="G30" i="1"/>
  <c r="L31" i="1"/>
  <c r="G31" i="1"/>
  <c r="L32" i="1"/>
  <c r="G32" i="1"/>
  <c r="L33" i="1"/>
  <c r="G33" i="1"/>
  <c r="B29" i="1"/>
  <c r="I20" i="1"/>
  <c r="I21" i="1"/>
  <c r="G21" i="1"/>
  <c r="M21" i="1"/>
  <c r="I22" i="1"/>
  <c r="G22" i="1"/>
  <c r="L22" i="1"/>
  <c r="E19" i="1"/>
  <c r="E20" i="1"/>
  <c r="E21" i="1"/>
  <c r="E22" i="1"/>
  <c r="E18" i="1"/>
  <c r="D19" i="1"/>
  <c r="D20" i="1"/>
  <c r="D21" i="1"/>
  <c r="D22" i="1"/>
  <c r="D18" i="1"/>
  <c r="B19" i="1"/>
  <c r="B20" i="1"/>
  <c r="B21" i="1"/>
  <c r="B22" i="1"/>
  <c r="B18" i="1"/>
  <c r="M33" i="1"/>
  <c r="K33" i="1"/>
  <c r="J33" i="1"/>
  <c r="E33" i="1"/>
  <c r="D33" i="1"/>
  <c r="B33" i="1"/>
  <c r="M32" i="1"/>
  <c r="K32" i="1"/>
  <c r="J32" i="1"/>
  <c r="E32" i="1"/>
  <c r="D32" i="1"/>
  <c r="B32" i="1"/>
  <c r="M31" i="1"/>
  <c r="K31" i="1"/>
  <c r="J31" i="1"/>
  <c r="E31" i="1"/>
  <c r="D31" i="1"/>
  <c r="M30" i="1"/>
  <c r="K30" i="1"/>
  <c r="J30" i="1"/>
  <c r="E30" i="1"/>
  <c r="D30" i="1"/>
  <c r="B30" i="1"/>
  <c r="M29" i="1"/>
  <c r="K29" i="1"/>
  <c r="J29" i="1"/>
  <c r="E29" i="1"/>
  <c r="D29" i="1"/>
  <c r="J10" i="2"/>
  <c r="J3" i="2"/>
  <c r="J4" i="2"/>
  <c r="J9" i="2"/>
  <c r="J8" i="2"/>
  <c r="J7" i="2"/>
  <c r="J6" i="2"/>
  <c r="G18" i="1"/>
  <c r="M18" i="1"/>
  <c r="G20" i="1"/>
  <c r="K20" i="1"/>
  <c r="F18" i="1"/>
  <c r="F33" i="1"/>
  <c r="H33" i="1"/>
  <c r="K21" i="1"/>
  <c r="F32" i="1"/>
  <c r="H32" i="1"/>
  <c r="F31" i="1"/>
  <c r="H31" i="1"/>
  <c r="L21" i="1"/>
  <c r="J22" i="1"/>
  <c r="J21" i="1"/>
  <c r="M22" i="1"/>
  <c r="F29" i="1"/>
  <c r="H29" i="1"/>
  <c r="F30" i="1"/>
  <c r="H30" i="1"/>
  <c r="K22" i="1"/>
  <c r="L19" i="1"/>
  <c r="K19" i="1"/>
  <c r="M19" i="1"/>
  <c r="J19" i="1"/>
  <c r="F21" i="1"/>
  <c r="H21" i="1"/>
  <c r="F20" i="1"/>
  <c r="F19" i="1"/>
  <c r="H19" i="1"/>
  <c r="F22" i="1"/>
  <c r="H22" i="1"/>
  <c r="K18" i="1"/>
  <c r="L18" i="1"/>
  <c r="J18" i="1"/>
  <c r="H18" i="1"/>
  <c r="L20" i="1"/>
  <c r="H20" i="1"/>
  <c r="J20" i="1"/>
  <c r="M20" i="1"/>
</calcChain>
</file>

<file path=xl/sharedStrings.xml><?xml version="1.0" encoding="utf-8"?>
<sst xmlns="http://schemas.openxmlformats.org/spreadsheetml/2006/main" count="129" uniqueCount="51">
  <si>
    <t xml:space="preserve">      Næringsstofindhold, kg pr. ton</t>
  </si>
  <si>
    <t>N-udn%</t>
  </si>
  <si>
    <t>Indkøb,</t>
  </si>
  <si>
    <t>Lagring,</t>
  </si>
  <si>
    <t>Udbring-</t>
  </si>
  <si>
    <r>
      <t>N</t>
    </r>
    <r>
      <rPr>
        <vertAlign val="subscript"/>
        <sz val="11"/>
        <color theme="1"/>
        <rFont val="Calibri"/>
        <family val="2"/>
        <scheme val="minor"/>
      </rPr>
      <t>tot</t>
    </r>
  </si>
  <si>
    <r>
      <t>N</t>
    </r>
    <r>
      <rPr>
        <vertAlign val="subscript"/>
        <sz val="11"/>
        <color theme="1"/>
        <rFont val="Calibri"/>
        <family val="2"/>
        <scheme val="minor"/>
      </rPr>
      <t>NH4</t>
    </r>
  </si>
  <si>
    <t>P</t>
  </si>
  <si>
    <t>K</t>
  </si>
  <si>
    <t>S</t>
  </si>
  <si>
    <t>Mg</t>
  </si>
  <si>
    <t>Forventet</t>
  </si>
  <si>
    <t>kr./ton vejl.</t>
  </si>
  <si>
    <t>kr./ ton</t>
  </si>
  <si>
    <t>ning, 
kr./ton</t>
  </si>
  <si>
    <t>Kvæggylle</t>
  </si>
  <si>
    <t>Slagtesvinegylle</t>
  </si>
  <si>
    <t>Dybstøelse, kvæg</t>
  </si>
  <si>
    <t>Øgro 10-3-1</t>
  </si>
  <si>
    <t>Øgro 15N</t>
  </si>
  <si>
    <t>YaraSUNA</t>
  </si>
  <si>
    <t>Fertikal 4-1-2</t>
  </si>
  <si>
    <t>Have-parkaffald</t>
  </si>
  <si>
    <t>Patentkali</t>
  </si>
  <si>
    <t>Kiserit 15</t>
  </si>
  <si>
    <t>Træaske</t>
  </si>
  <si>
    <t>Gips</t>
  </si>
  <si>
    <t>Wigor S.</t>
  </si>
  <si>
    <t>Husdyrgødninger</t>
  </si>
  <si>
    <t>Andre gødninger med N</t>
  </si>
  <si>
    <t>Gødninger uden N</t>
  </si>
  <si>
    <t>Omkostninger, kr. pr. ton</t>
  </si>
  <si>
    <t>Resultat</t>
  </si>
  <si>
    <t>Indkøb</t>
  </si>
  <si>
    <t>Transport</t>
  </si>
  <si>
    <t>Lagring</t>
  </si>
  <si>
    <t>Udbringning</t>
  </si>
  <si>
    <t>Omkostninger i alt:</t>
  </si>
  <si>
    <t>Ved 50 kg udn. N pr. ha</t>
  </si>
  <si>
    <t>Medfølgende næringsstoffer, kg pr. ha</t>
  </si>
  <si>
    <t>Ton pr. ha</t>
  </si>
  <si>
    <t>kr. pr. ha</t>
  </si>
  <si>
    <t>Udn. N</t>
  </si>
  <si>
    <t>Kg udnyttet N, default</t>
  </si>
  <si>
    <t>N-udn kg N pr. ton</t>
  </si>
  <si>
    <t>Ved 20 kg S pr. ha</t>
  </si>
  <si>
    <t>Kg S, default</t>
  </si>
  <si>
    <t>Gødningsprodukt, svovl</t>
  </si>
  <si>
    <t>Gødningsprodukt, kvælstof</t>
  </si>
  <si>
    <t>Gødningsberegner til økonomisk optimering af N- og S-tildeling med organisk gødning</t>
  </si>
  <si>
    <t>Gødningsberegneren er et sammenligningsværktøj, der giver dig mulighed for at vælge og sammenligne forskellige kvælstof- eller svovlholdige gødningsprodukter. Du udvælger relevante gødninger til sammenligning fra drop-down menuen i kolonne A. Derfra kan du med dine egne tal for indkøb, transport, lagring og udbringning af gødningsprodukterne opnå den samlede omkostning ved tilførsel af henholdsvis 50 kg udn-N pr. ha eller 20 kg S pr. ha. Det er kun de grå felter, du skal justere, så de passer til din egen situation. De nuværende tal i de grå felter er eksempler.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</si>
</sst>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5" tint="0.39997558519241921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vertical="top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 vertical="top" wrapText="1"/>
    </xf>
    <xf numFmtId="0" fontId="0" fillId="0" borderId="7" xfId="0" applyBorder="1" applyAlignment="1">
      <alignment horizontal="left" vertical="center" wrapText="1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2" fillId="0" borderId="12" xfId="0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10" xfId="0" applyBorder="1"/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left" vertical="center"/>
    </xf>
    <xf numFmtId="0" fontId="2" fillId="2" borderId="4" xfId="0" applyFont="1" applyFill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19" xfId="0" applyNumberFormat="1" applyBorder="1"/>
    <xf numFmtId="1" fontId="0" fillId="0" borderId="0" xfId="0" applyNumberFormat="1"/>
    <xf numFmtId="0" fontId="0" fillId="0" borderId="20" xfId="0" applyBorder="1"/>
    <xf numFmtId="2" fontId="0" fillId="0" borderId="21" xfId="0" applyNumberFormat="1" applyBorder="1"/>
    <xf numFmtId="1" fontId="0" fillId="0" borderId="22" xfId="0" applyNumberFormat="1" applyBorder="1"/>
    <xf numFmtId="0" fontId="0" fillId="0" borderId="22" xfId="0" applyBorder="1"/>
    <xf numFmtId="0" fontId="0" fillId="0" borderId="23" xfId="0" applyBorder="1"/>
    <xf numFmtId="164" fontId="0" fillId="0" borderId="0" xfId="0" applyNumberFormat="1"/>
    <xf numFmtId="164" fontId="0" fillId="0" borderId="20" xfId="0" applyNumberFormat="1" applyBorder="1"/>
    <xf numFmtId="164" fontId="0" fillId="0" borderId="22" xfId="0" applyNumberFormat="1" applyBorder="1"/>
    <xf numFmtId="164" fontId="0" fillId="0" borderId="23" xfId="0" applyNumberFormat="1" applyBorder="1"/>
    <xf numFmtId="0" fontId="0" fillId="0" borderId="0" xfId="0" applyAlignment="1">
      <alignment horizontal="center" wrapText="1"/>
    </xf>
    <xf numFmtId="0" fontId="3" fillId="0" borderId="0" xfId="0" applyFont="1"/>
    <xf numFmtId="0" fontId="0" fillId="6" borderId="0" xfId="0" applyFill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4" borderId="10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wrapText="1"/>
    </xf>
    <xf numFmtId="0" fontId="1" fillId="5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1" fillId="5" borderId="25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2" borderId="1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34C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DE171-ACF1-4A96-B082-9422BA2EECDC}">
  <dimension ref="A4:M33"/>
  <sheetViews>
    <sheetView tabSelected="1" zoomScale="130" zoomScaleNormal="130" workbookViewId="0">
      <selection activeCell="N4" sqref="N4"/>
    </sheetView>
  </sheetViews>
  <sheetFormatPr defaultRowHeight="12" x14ac:dyDescent="0.2"/>
  <cols>
    <col min="1" max="1" width="18.28515625" customWidth="1"/>
    <col min="2" max="2" width="18.85546875" customWidth="1"/>
    <col min="5" max="5" width="11.28515625" customWidth="1"/>
    <col min="6" max="6" width="16.28515625" customWidth="1"/>
    <col min="7" max="7" width="11.5703125" customWidth="1"/>
    <col min="8" max="8" width="11.42578125" customWidth="1"/>
    <col min="11" max="11" width="9.42578125" customWidth="1"/>
  </cols>
  <sheetData>
    <row r="4" spans="1:13" ht="12" customHeight="1" x14ac:dyDescent="0.2"/>
    <row r="5" spans="1:13" ht="12" customHeight="1" x14ac:dyDescent="0.25">
      <c r="A5" s="49" t="s">
        <v>49</v>
      </c>
    </row>
    <row r="6" spans="1:13" ht="12" customHeight="1" x14ac:dyDescent="0.2">
      <c r="A6" s="52" t="s">
        <v>50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1"/>
      <c r="M6" s="51"/>
    </row>
    <row r="7" spans="1:13" ht="12" customHeight="1" x14ac:dyDescent="0.2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1"/>
      <c r="M7" s="51"/>
    </row>
    <row r="8" spans="1:13" x14ac:dyDescent="0.2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1"/>
      <c r="M8" s="51"/>
    </row>
    <row r="9" spans="1:13" x14ac:dyDescent="0.2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1"/>
      <c r="M9" s="51"/>
    </row>
    <row r="10" spans="1:13" x14ac:dyDescent="0.2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1"/>
      <c r="M10" s="51"/>
    </row>
    <row r="11" spans="1:13" ht="11.45" x14ac:dyDescent="0.2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</row>
    <row r="12" spans="1:13" ht="11.45" x14ac:dyDescent="0.2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</row>
    <row r="13" spans="1:13" ht="11.45" x14ac:dyDescent="0.2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</row>
    <row r="14" spans="1:13" thickBot="1" x14ac:dyDescent="0.25"/>
    <row r="15" spans="1:13" x14ac:dyDescent="0.2">
      <c r="A15" s="77" t="s">
        <v>48</v>
      </c>
      <c r="B15" s="78" t="s">
        <v>31</v>
      </c>
      <c r="C15" s="78"/>
      <c r="D15" s="78"/>
      <c r="E15" s="78"/>
      <c r="F15" s="67"/>
      <c r="G15" s="79" t="s">
        <v>32</v>
      </c>
      <c r="H15" s="80"/>
      <c r="I15" s="80"/>
      <c r="J15" s="80"/>
      <c r="K15" s="80"/>
      <c r="L15" s="80"/>
      <c r="M15" s="81"/>
    </row>
    <row r="16" spans="1:13" x14ac:dyDescent="0.2">
      <c r="A16" s="77"/>
      <c r="B16" s="77" t="s">
        <v>33</v>
      </c>
      <c r="C16" s="53" t="s">
        <v>34</v>
      </c>
      <c r="D16" s="53" t="s">
        <v>35</v>
      </c>
      <c r="E16" s="53" t="s">
        <v>36</v>
      </c>
      <c r="F16" s="54" t="s">
        <v>37</v>
      </c>
      <c r="G16" s="55" t="s">
        <v>38</v>
      </c>
      <c r="H16" s="56"/>
      <c r="I16" s="57" t="s">
        <v>39</v>
      </c>
      <c r="J16" s="57"/>
      <c r="K16" s="57"/>
      <c r="L16" s="57"/>
      <c r="M16" s="58"/>
    </row>
    <row r="17" spans="1:13" ht="12" customHeight="1" x14ac:dyDescent="0.2">
      <c r="A17" s="77"/>
      <c r="B17" s="77"/>
      <c r="C17" s="53"/>
      <c r="D17" s="53"/>
      <c r="E17" s="53"/>
      <c r="F17" s="54"/>
      <c r="G17" s="35" t="s">
        <v>40</v>
      </c>
      <c r="H17" s="25" t="s">
        <v>41</v>
      </c>
      <c r="I17" s="25" t="s">
        <v>42</v>
      </c>
      <c r="J17" s="25" t="s">
        <v>7</v>
      </c>
      <c r="K17" s="25" t="s">
        <v>8</v>
      </c>
      <c r="L17" s="25" t="s">
        <v>9</v>
      </c>
      <c r="M17" s="36" t="s">
        <v>10</v>
      </c>
    </row>
    <row r="18" spans="1:13" ht="12" customHeight="1" x14ac:dyDescent="0.2">
      <c r="A18" t="s">
        <v>18</v>
      </c>
      <c r="B18" s="50">
        <f>VLOOKUP($A18,Data!$A$3:'Data'!$N$10,11,FALSE)</f>
        <v>2500</v>
      </c>
      <c r="C18" s="50"/>
      <c r="D18" s="50">
        <f>VLOOKUP($A18,Data!$A$3:'Data'!$N$10,12,FALSE)</f>
        <v>0</v>
      </c>
      <c r="E18" s="50">
        <f>VLOOKUP($A18,Data!$A$3:'Data'!$N$10,13,FALSE)</f>
        <v>50</v>
      </c>
      <c r="F18">
        <f>SUM(B18:E18)</f>
        <v>2550</v>
      </c>
      <c r="G18" s="37">
        <f>I18/(VLOOKUP($A18,Data!$A$3:'Data'!$N$10,10,FALSE))</f>
        <v>0.625</v>
      </c>
      <c r="H18" s="38">
        <f>G18*F18</f>
        <v>1593.75</v>
      </c>
      <c r="I18">
        <f>VLOOKUP($A18,Data!$A$3:'Data'!$N$10,14,FALSE)</f>
        <v>50</v>
      </c>
      <c r="J18" s="44">
        <f>VLOOKUP($A18,Data!$A$3:'Data'!$N$10,5,FALSE)*G18</f>
        <v>16.25</v>
      </c>
      <c r="K18" s="44">
        <f>VLOOKUP($A18,Data!$A$3:'Data'!$N$10,6,FALSE)*G18</f>
        <v>6.25</v>
      </c>
      <c r="L18" s="44">
        <f>VLOOKUP($A18,Data!$A$3:'Data'!$N$10,7,FALSE)*G18</f>
        <v>3.125</v>
      </c>
      <c r="M18" s="45">
        <f>VLOOKUP($A18,Data!$A$3:'Data'!$N$10,8,FALSE)*G18</f>
        <v>1.25</v>
      </c>
    </row>
    <row r="19" spans="1:13" x14ac:dyDescent="0.2">
      <c r="A19" t="s">
        <v>17</v>
      </c>
      <c r="B19" s="50">
        <f>VLOOKUP($A19,Data!$A$3:'Data'!$N$10,11,FALSE)</f>
        <v>0</v>
      </c>
      <c r="C19" s="50"/>
      <c r="D19" s="50">
        <f>VLOOKUP($A19,Data!$A$3:'Data'!$N$10,12,FALSE)</f>
        <v>20</v>
      </c>
      <c r="E19" s="50">
        <f>VLOOKUP($A19,Data!$A$3:'Data'!$N$10,13,FALSE)</f>
        <v>35</v>
      </c>
      <c r="F19">
        <f t="shared" ref="F19:F22" si="0">SUM(B19:E19)</f>
        <v>55</v>
      </c>
      <c r="G19" s="37">
        <f>I19/(VLOOKUP($A19,Data!$A$3:'Data'!$N$10,10,FALSE))</f>
        <v>22.222222222222221</v>
      </c>
      <c r="H19" s="38">
        <f>G19*F19</f>
        <v>1222.2222222222222</v>
      </c>
      <c r="I19">
        <f>VLOOKUP($A19,Data!$A$3:'Data'!$N$10,14,FALSE)</f>
        <v>50</v>
      </c>
      <c r="J19" s="44">
        <f>VLOOKUP($A19,Data!$A$3:'Data'!$N$10,5,FALSE)*G19</f>
        <v>24.444444444444446</v>
      </c>
      <c r="K19" s="44">
        <f>VLOOKUP($A19,Data!$A$3:'Data'!$N$10,6,FALSE)*G19</f>
        <v>177.77777777777777</v>
      </c>
      <c r="L19" s="44">
        <f>VLOOKUP($A19,Data!$A$3:'Data'!$N$10,7,FALSE)*G19</f>
        <v>22.222222222222221</v>
      </c>
      <c r="M19" s="45">
        <f>VLOOKUP($A19,Data!$A$3:'Data'!$N$10,8,FALSE)*G19</f>
        <v>0</v>
      </c>
    </row>
    <row r="20" spans="1:13" ht="12" customHeight="1" x14ac:dyDescent="0.2">
      <c r="A20" t="s">
        <v>15</v>
      </c>
      <c r="B20" s="50">
        <f>VLOOKUP($A20,Data!$A$3:'Data'!$N$10,11,FALSE)</f>
        <v>0</v>
      </c>
      <c r="C20" s="50"/>
      <c r="D20" s="50">
        <f>VLOOKUP($A20,Data!$A$3:'Data'!$N$10,12,FALSE)</f>
        <v>12</v>
      </c>
      <c r="E20" s="50">
        <f>VLOOKUP($A20,Data!$A$3:'Data'!$N$10,13,FALSE)</f>
        <v>20</v>
      </c>
      <c r="F20">
        <f t="shared" si="0"/>
        <v>32</v>
      </c>
      <c r="G20" s="37">
        <f>I20/(VLOOKUP($A20,Data!$A$3:'Data'!$N$10,10,FALSE))</f>
        <v>18.939393939393938</v>
      </c>
      <c r="H20" s="38">
        <f t="shared" ref="H20:H22" si="1">G20*F20</f>
        <v>606.06060606060601</v>
      </c>
      <c r="I20">
        <f>VLOOKUP($A20,Data!$A$3:'Data'!$N$10,14,FALSE)</f>
        <v>50</v>
      </c>
      <c r="J20" s="44">
        <f>VLOOKUP($A20,Data!$A$3:'Data'!$N$10,5,FALSE)*G20</f>
        <v>13.257575757575756</v>
      </c>
      <c r="K20" s="44">
        <f>VLOOKUP($A20,Data!$A$3:'Data'!$N$10,6,FALSE)*G20</f>
        <v>60.606060606060602</v>
      </c>
      <c r="L20" s="44">
        <f>VLOOKUP($A20,Data!$A$3:'Data'!$N$10,7,FALSE)*G20</f>
        <v>9.4696969696969688</v>
      </c>
      <c r="M20" s="45">
        <f>VLOOKUP($A20,Data!$A$3:'Data'!$N$10,8,FALSE)*G20</f>
        <v>0</v>
      </c>
    </row>
    <row r="21" spans="1:13" ht="12" customHeight="1" x14ac:dyDescent="0.2">
      <c r="A21" t="s">
        <v>19</v>
      </c>
      <c r="B21" s="50">
        <f>VLOOKUP($A21,Data!$A$3:'Data'!$N$10,11,FALSE)</f>
        <v>4620</v>
      </c>
      <c r="C21" s="50"/>
      <c r="D21" s="50">
        <f>VLOOKUP($A21,Data!$A$3:'Data'!$N$10,12,FALSE)</f>
        <v>0</v>
      </c>
      <c r="E21" s="50">
        <f>VLOOKUP($A21,Data!$A$3:'Data'!$N$10,13,FALSE)</f>
        <v>50</v>
      </c>
      <c r="F21">
        <f t="shared" si="0"/>
        <v>4670</v>
      </c>
      <c r="G21" s="37">
        <f>I21/(VLOOKUP($A21,Data!$A$3:'Data'!$N$10,10,FALSE))</f>
        <v>0.41666666666666669</v>
      </c>
      <c r="H21" s="38">
        <f t="shared" si="1"/>
        <v>1945.8333333333335</v>
      </c>
      <c r="I21">
        <f>VLOOKUP($A21,Data!$A$3:'Data'!$N$10,14,FALSE)</f>
        <v>50</v>
      </c>
      <c r="J21" s="44">
        <f>VLOOKUP($A21,Data!$A$3:'Data'!$N$10,5,FALSE)*G21</f>
        <v>1.25</v>
      </c>
      <c r="K21" s="44">
        <f>VLOOKUP($A21,Data!$A$3:'Data'!$N$10,6,FALSE)*G21</f>
        <v>4.1666666666666671E-2</v>
      </c>
      <c r="L21" s="44">
        <f>VLOOKUP($A21,Data!$A$3:'Data'!$N$10,7,FALSE)*G21</f>
        <v>9.1666666666666679</v>
      </c>
      <c r="M21" s="45">
        <f>VLOOKUP($A21,Data!$A$3:'Data'!$N$10,8,FALSE)*G21</f>
        <v>4.1666666666666671E-2</v>
      </c>
    </row>
    <row r="22" spans="1:13" ht="12" customHeight="1" thickBot="1" x14ac:dyDescent="0.25">
      <c r="A22" t="s">
        <v>20</v>
      </c>
      <c r="B22" s="50">
        <f>VLOOKUP($A22,Data!$A$3:'Data'!$N$10,11,FALSE)</f>
        <v>0</v>
      </c>
      <c r="C22" s="50"/>
      <c r="D22" s="50">
        <f>VLOOKUP($A22,Data!$A$3:'Data'!$N$10,12,FALSE)</f>
        <v>0</v>
      </c>
      <c r="E22" s="50">
        <f>VLOOKUP($A22,Data!$A$3:'Data'!$N$10,13,FALSE)</f>
        <v>50</v>
      </c>
      <c r="F22">
        <f t="shared" si="0"/>
        <v>50</v>
      </c>
      <c r="G22" s="40">
        <f>I22/(VLOOKUP($A22,Data!$A$3:'Data'!$N$10,10,FALSE))</f>
        <v>0.69444444444444442</v>
      </c>
      <c r="H22" s="41">
        <f t="shared" si="1"/>
        <v>34.722222222222221</v>
      </c>
      <c r="I22" s="42">
        <f>VLOOKUP($A22,Data!$A$3:'Data'!$N$10,14,FALSE)</f>
        <v>50</v>
      </c>
      <c r="J22" s="46">
        <f>VLOOKUP($A22,Data!$A$3:'Data'!$N$10,5,FALSE)*G22</f>
        <v>20.833333333333332</v>
      </c>
      <c r="K22" s="46">
        <f>VLOOKUP($A22,Data!$A$3:'Data'!$N$10,6,FALSE)*G22</f>
        <v>3.4722222222222223</v>
      </c>
      <c r="L22" s="46">
        <f>VLOOKUP($A22,Data!$A$3:'Data'!$N$10,7,FALSE)*G22</f>
        <v>3.4722222222222223</v>
      </c>
      <c r="M22" s="47">
        <f>VLOOKUP($A22,Data!$A$3:'Data'!$N$10,8,FALSE)*G22</f>
        <v>0</v>
      </c>
    </row>
    <row r="23" spans="1:13" ht="12" customHeight="1" x14ac:dyDescent="0.2"/>
    <row r="25" spans="1:13" thickBot="1" x14ac:dyDescent="0.25"/>
    <row r="26" spans="1:13" x14ac:dyDescent="0.2">
      <c r="A26" s="74" t="s">
        <v>47</v>
      </c>
      <c r="B26" s="67" t="s">
        <v>31</v>
      </c>
      <c r="C26" s="68"/>
      <c r="D26" s="68"/>
      <c r="E26" s="68"/>
      <c r="F26" s="69"/>
      <c r="G26" s="64" t="s">
        <v>32</v>
      </c>
      <c r="H26" s="65"/>
      <c r="I26" s="65"/>
      <c r="J26" s="65"/>
      <c r="K26" s="65"/>
      <c r="L26" s="65"/>
      <c r="M26" s="66"/>
    </row>
    <row r="27" spans="1:13" ht="13.15" customHeight="1" x14ac:dyDescent="0.2">
      <c r="A27" s="76"/>
      <c r="B27" s="74" t="s">
        <v>33</v>
      </c>
      <c r="C27" s="72" t="s">
        <v>34</v>
      </c>
      <c r="D27" s="72" t="s">
        <v>35</v>
      </c>
      <c r="E27" s="72" t="s">
        <v>36</v>
      </c>
      <c r="F27" s="70" t="s">
        <v>37</v>
      </c>
      <c r="G27" s="62" t="s">
        <v>45</v>
      </c>
      <c r="H27" s="63"/>
      <c r="I27" s="59" t="s">
        <v>39</v>
      </c>
      <c r="J27" s="60"/>
      <c r="K27" s="60"/>
      <c r="L27" s="60"/>
      <c r="M27" s="61"/>
    </row>
    <row r="28" spans="1:13" x14ac:dyDescent="0.2">
      <c r="A28" s="75"/>
      <c r="B28" s="75"/>
      <c r="C28" s="73"/>
      <c r="D28" s="73"/>
      <c r="E28" s="73"/>
      <c r="F28" s="71"/>
      <c r="G28" s="35" t="s">
        <v>40</v>
      </c>
      <c r="H28" s="25" t="s">
        <v>41</v>
      </c>
      <c r="I28" s="25" t="s">
        <v>42</v>
      </c>
      <c r="J28" s="25" t="s">
        <v>7</v>
      </c>
      <c r="K28" s="25" t="s">
        <v>8</v>
      </c>
      <c r="L28" s="25" t="s">
        <v>9</v>
      </c>
      <c r="M28" s="36" t="s">
        <v>10</v>
      </c>
    </row>
    <row r="29" spans="1:13" ht="11.45" x14ac:dyDescent="0.2">
      <c r="A29" t="s">
        <v>23</v>
      </c>
      <c r="B29" s="50">
        <f>VLOOKUP($A29,Data!$A$3:'Data'!$M$15,11,FALSE)</f>
        <v>3200</v>
      </c>
      <c r="C29" s="50"/>
      <c r="D29" s="50">
        <f>VLOOKUP($A29,Data!$A$3:'Data'!$M$15,12,FALSE)</f>
        <v>0</v>
      </c>
      <c r="E29" s="50">
        <f>VLOOKUP($A29,Data!$A$3:'Data'!$M$15,13,FALSE)</f>
        <v>40</v>
      </c>
      <c r="F29">
        <f>SUM(B29:E29)</f>
        <v>3240</v>
      </c>
      <c r="G29" s="37">
        <f>L29/(VLOOKUP($A29,Data!$A$3:'Data'!$M$15,7,FALSE))</f>
        <v>0.11764705882352941</v>
      </c>
      <c r="H29" s="38">
        <f>G29*F29</f>
        <v>381.1764705882353</v>
      </c>
      <c r="I29">
        <f>VLOOKUP($A29,Data!$A$3:'Data'!$N$15,4,FALSE)</f>
        <v>0</v>
      </c>
      <c r="J29">
        <f>VLOOKUP($A29,Data!$A$3:'Data'!$M$15,5,FALSE)</f>
        <v>0</v>
      </c>
      <c r="K29">
        <f>VLOOKUP($A29,Data!$A$3:'Data'!$M$15,6,FALSE)</f>
        <v>249</v>
      </c>
      <c r="L29">
        <f>VLOOKUP($A29,Data!$A$3:'Data'!$O$15,15,FALSE)</f>
        <v>20</v>
      </c>
      <c r="M29" s="39">
        <f>VLOOKUP($A29,Data!$A$3:'Data'!$M$15,8,FALSE)</f>
        <v>60</v>
      </c>
    </row>
    <row r="30" spans="1:13" x14ac:dyDescent="0.2">
      <c r="A30" t="s">
        <v>25</v>
      </c>
      <c r="B30" s="50">
        <f>VLOOKUP($A30,Data!$A$3:'Data'!$M$15,11,FALSE)</f>
        <v>100</v>
      </c>
      <c r="C30" s="50"/>
      <c r="D30" s="50">
        <f>VLOOKUP($A30,Data!$A$3:'Data'!$M$15,12,FALSE)</f>
        <v>0</v>
      </c>
      <c r="E30" s="50">
        <f>VLOOKUP($A30,Data!$A$3:'Data'!$M$15,13,FALSE)</f>
        <v>85</v>
      </c>
      <c r="F30">
        <f t="shared" ref="F30:F33" si="2">SUM(B30:E30)</f>
        <v>185</v>
      </c>
      <c r="G30" s="37">
        <f>L30/(VLOOKUP($A30,Data!$A$3:'Data'!$M$15,7,FALSE))</f>
        <v>0.83333333333333337</v>
      </c>
      <c r="H30" s="38">
        <f t="shared" ref="H30:H33" si="3">G30*F30</f>
        <v>154.16666666666669</v>
      </c>
      <c r="I30">
        <f>VLOOKUP($A30,Data!$A$3:'Data'!$N$15,4,FALSE)</f>
        <v>0</v>
      </c>
      <c r="J30">
        <f>VLOOKUP($A30,Data!$A$3:'Data'!$M$15,5,FALSE)</f>
        <v>0</v>
      </c>
      <c r="K30">
        <f>VLOOKUP($A30,Data!$A$3:'Data'!$M$15,6,FALSE)</f>
        <v>9.1</v>
      </c>
      <c r="L30">
        <f>VLOOKUP($A30,Data!$A$3:'Data'!$O$15,15,FALSE)</f>
        <v>20</v>
      </c>
      <c r="M30" s="39">
        <f>VLOOKUP($A30,Data!$A$3:'Data'!$M$15,8,FALSE)</f>
        <v>0</v>
      </c>
    </row>
    <row r="31" spans="1:13" ht="11.45" x14ac:dyDescent="0.2">
      <c r="A31" t="s">
        <v>24</v>
      </c>
      <c r="B31" s="50">
        <f>VLOOKUP($A31,Data!$A$3:'Data'!$M$15,11,FALSE)</f>
        <v>2200</v>
      </c>
      <c r="C31" s="50"/>
      <c r="D31" s="50">
        <f>VLOOKUP($A31,Data!$A$3:'Data'!$M$15,12,FALSE)</f>
        <v>0</v>
      </c>
      <c r="E31" s="50">
        <f>VLOOKUP($A31,Data!$A$3:'Data'!$M$15,13,FALSE)</f>
        <v>40</v>
      </c>
      <c r="F31">
        <f t="shared" si="2"/>
        <v>2240</v>
      </c>
      <c r="G31" s="37">
        <f>L31/(VLOOKUP($A31,Data!$A$3:'Data'!$M$15,7,FALSE))</f>
        <v>0.1</v>
      </c>
      <c r="H31" s="38">
        <f t="shared" si="3"/>
        <v>224</v>
      </c>
      <c r="I31">
        <f>VLOOKUP($A31,Data!$A$3:'Data'!$N$15,4,FALSE)</f>
        <v>0</v>
      </c>
      <c r="J31">
        <f>VLOOKUP($A31,Data!$A$3:'Data'!$M$15,5,FALSE)</f>
        <v>0</v>
      </c>
      <c r="K31">
        <f>VLOOKUP($A31,Data!$A$3:'Data'!$M$15,6,FALSE)</f>
        <v>0</v>
      </c>
      <c r="L31">
        <f>VLOOKUP($A31,Data!$A$3:'Data'!$O$15,15,FALSE)</f>
        <v>20</v>
      </c>
      <c r="M31" s="39">
        <f>VLOOKUP($A31,Data!$A$3:'Data'!$M$15,8,FALSE)</f>
        <v>151</v>
      </c>
    </row>
    <row r="32" spans="1:13" ht="11.45" x14ac:dyDescent="0.2">
      <c r="A32" t="s">
        <v>27</v>
      </c>
      <c r="B32" s="50">
        <f>VLOOKUP($A32,Data!$A$3:'Data'!$M$15,11,FALSE)</f>
        <v>10500</v>
      </c>
      <c r="C32" s="50"/>
      <c r="D32" s="50">
        <f>VLOOKUP($A32,Data!$A$3:'Data'!$M$15,12,FALSE)</f>
        <v>0</v>
      </c>
      <c r="E32" s="50">
        <f>VLOOKUP($A32,Data!$A$3:'Data'!$M$15,13,FALSE)</f>
        <v>40</v>
      </c>
      <c r="F32">
        <f t="shared" si="2"/>
        <v>10540</v>
      </c>
      <c r="G32" s="37">
        <f>L32/(VLOOKUP($A32,Data!$A$3:'Data'!$M$15,7,FALSE))</f>
        <v>2.2222222222222223E-2</v>
      </c>
      <c r="H32" s="38">
        <f>G32*F32</f>
        <v>234.22222222222223</v>
      </c>
      <c r="I32">
        <f>VLOOKUP($A32,Data!$A$3:'Data'!$N$15,4,FALSE)</f>
        <v>0</v>
      </c>
      <c r="J32">
        <f>VLOOKUP($A32,Data!$A$3:'Data'!$M$15,5,FALSE)</f>
        <v>0</v>
      </c>
      <c r="K32">
        <f>VLOOKUP($A32,Data!$A$3:'Data'!$M$15,6,FALSE)</f>
        <v>0</v>
      </c>
      <c r="L32">
        <f>VLOOKUP($A32,Data!$A$3:'Data'!$O$15,15,FALSE)</f>
        <v>20</v>
      </c>
      <c r="M32" s="39">
        <f>VLOOKUP($A32,Data!$A$3:'Data'!$M$15,8,FALSE)</f>
        <v>0</v>
      </c>
    </row>
    <row r="33" spans="1:13" thickBot="1" x14ac:dyDescent="0.25">
      <c r="A33" t="s">
        <v>26</v>
      </c>
      <c r="B33" s="50">
        <f>VLOOKUP($A33,Data!$A$3:'Data'!$M$15,11,FALSE)</f>
        <v>1050</v>
      </c>
      <c r="C33" s="50"/>
      <c r="D33" s="50">
        <f>VLOOKUP($A33,Data!$A$3:'Data'!$M$15,12,FALSE)</f>
        <v>0</v>
      </c>
      <c r="E33" s="50">
        <f>VLOOKUP($A33,Data!$A$3:'Data'!$M$15,13,FALSE)</f>
        <v>40</v>
      </c>
      <c r="F33">
        <f t="shared" si="2"/>
        <v>1090</v>
      </c>
      <c r="G33" s="40">
        <f>L33/(VLOOKUP($A33,Data!$A$3:'Data'!$M$15,7,FALSE))</f>
        <v>0.1</v>
      </c>
      <c r="H33" s="41">
        <f t="shared" si="3"/>
        <v>109</v>
      </c>
      <c r="I33" s="42">
        <f>VLOOKUP($A33,Data!$A$3:'Data'!$N$15,4,FALSE)</f>
        <v>0</v>
      </c>
      <c r="J33" s="42">
        <f>VLOOKUP($A33,Data!$A$3:'Data'!$M$15,5,FALSE)</f>
        <v>0</v>
      </c>
      <c r="K33" s="42">
        <f>VLOOKUP($A33,Data!$A$3:'Data'!$M$15,6,FALSE)</f>
        <v>0</v>
      </c>
      <c r="L33" s="42">
        <f>VLOOKUP($A33,Data!$A$3:'Data'!$O$15,15,FALSE)</f>
        <v>20</v>
      </c>
      <c r="M33" s="43">
        <f>VLOOKUP($A33,Data!$A$3:'Data'!$M$15,8,FALSE)</f>
        <v>0</v>
      </c>
    </row>
  </sheetData>
  <mergeCells count="21">
    <mergeCell ref="A26:A28"/>
    <mergeCell ref="A15:A17"/>
    <mergeCell ref="B15:F15"/>
    <mergeCell ref="G15:M15"/>
    <mergeCell ref="B16:B17"/>
    <mergeCell ref="C16:C17"/>
    <mergeCell ref="I27:M27"/>
    <mergeCell ref="G27:H27"/>
    <mergeCell ref="G26:M26"/>
    <mergeCell ref="B26:F26"/>
    <mergeCell ref="F27:F28"/>
    <mergeCell ref="E27:E28"/>
    <mergeCell ref="D27:D28"/>
    <mergeCell ref="C27:C28"/>
    <mergeCell ref="B27:B28"/>
    <mergeCell ref="A6:K10"/>
    <mergeCell ref="D16:D17"/>
    <mergeCell ref="E16:E17"/>
    <mergeCell ref="F16:F17"/>
    <mergeCell ref="G16:H16"/>
    <mergeCell ref="I16:M16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C4C3C50-01CD-411F-ACF6-B0CF908E4107}">
          <x14:formula1>
            <xm:f>Data!$A$3:$A$10</xm:f>
          </x14:formula1>
          <xm:sqref>A18:A22</xm:sqref>
        </x14:dataValidation>
        <x14:dataValidation type="list" allowBlank="1" showInputMessage="1" showErrorMessage="1" xr:uid="{94A81F20-10D6-466E-BD4F-E504CEA6FFEB}">
          <x14:formula1>
            <xm:f>Data!$A$94:$A$101</xm:f>
          </x14:formula1>
          <xm:sqref>A29:A33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A43BB-74A5-4CA3-88F8-F2A48193C022}">
  <dimension ref="A1:O101"/>
  <sheetViews>
    <sheetView workbookViewId="0">
      <selection activeCell="K19" sqref="K19"/>
    </sheetView>
  </sheetViews>
  <sheetFormatPr defaultRowHeight="12" x14ac:dyDescent="0.2"/>
  <cols>
    <col min="1" max="1" width="15.42578125" bestFit="1" customWidth="1"/>
    <col min="2" max="2" width="21.42578125" customWidth="1"/>
    <col min="14" max="15" width="10.7109375" customWidth="1"/>
  </cols>
  <sheetData>
    <row r="1" spans="1:15" ht="42.75" x14ac:dyDescent="0.2">
      <c r="A1" s="1"/>
      <c r="B1" s="11"/>
      <c r="C1" s="2" t="s">
        <v>0</v>
      </c>
      <c r="D1" s="3"/>
      <c r="E1" s="3"/>
      <c r="F1" s="3"/>
      <c r="G1" s="3"/>
      <c r="H1" s="4"/>
      <c r="I1" s="5" t="s">
        <v>1</v>
      </c>
      <c r="J1" s="34" t="s">
        <v>44</v>
      </c>
      <c r="K1" s="6" t="s">
        <v>2</v>
      </c>
      <c r="L1" s="7" t="s">
        <v>3</v>
      </c>
      <c r="M1" s="6" t="s">
        <v>4</v>
      </c>
      <c r="N1" s="82" t="s">
        <v>43</v>
      </c>
      <c r="O1" s="82" t="s">
        <v>46</v>
      </c>
    </row>
    <row r="2" spans="1:15" ht="28.5" x14ac:dyDescent="0.35">
      <c r="A2" s="8"/>
      <c r="B2" s="12"/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9" t="s">
        <v>11</v>
      </c>
      <c r="J2" s="9" t="s">
        <v>11</v>
      </c>
      <c r="K2" s="10" t="s">
        <v>12</v>
      </c>
      <c r="L2" s="10" t="s">
        <v>13</v>
      </c>
      <c r="M2" s="10" t="s">
        <v>14</v>
      </c>
      <c r="N2" s="82"/>
      <c r="O2" s="82"/>
    </row>
    <row r="3" spans="1:15" ht="14.25" x14ac:dyDescent="0.2">
      <c r="A3" s="13" t="s">
        <v>15</v>
      </c>
      <c r="B3" s="13" t="s">
        <v>28</v>
      </c>
      <c r="C3" s="14">
        <v>4.4000000000000004</v>
      </c>
      <c r="D3" s="15">
        <v>2.6</v>
      </c>
      <c r="E3" s="14">
        <v>0.7</v>
      </c>
      <c r="F3" s="14">
        <v>3.2</v>
      </c>
      <c r="G3" s="15">
        <v>0.5</v>
      </c>
      <c r="H3" s="15"/>
      <c r="I3" s="14">
        <v>60</v>
      </c>
      <c r="J3" s="18">
        <f>$C3*($I3/100)</f>
        <v>2.64</v>
      </c>
      <c r="K3" s="16">
        <v>0</v>
      </c>
      <c r="L3" s="16">
        <v>12</v>
      </c>
      <c r="M3" s="16">
        <v>20</v>
      </c>
      <c r="N3" s="26">
        <v>50</v>
      </c>
      <c r="O3" s="26">
        <v>20</v>
      </c>
    </row>
    <row r="4" spans="1:15" ht="14.25" x14ac:dyDescent="0.2">
      <c r="A4" s="17" t="s">
        <v>16</v>
      </c>
      <c r="B4" s="17" t="s">
        <v>28</v>
      </c>
      <c r="C4" s="18">
        <v>4.5</v>
      </c>
      <c r="D4" s="19">
        <v>3.4</v>
      </c>
      <c r="E4" s="18">
        <v>1.2</v>
      </c>
      <c r="F4" s="18">
        <v>2.6</v>
      </c>
      <c r="G4" s="19">
        <v>0.4</v>
      </c>
      <c r="H4" s="19"/>
      <c r="I4" s="18">
        <v>70</v>
      </c>
      <c r="J4" s="18">
        <f>$C4*($I4/100)</f>
        <v>3.15</v>
      </c>
      <c r="K4" s="16">
        <v>0</v>
      </c>
      <c r="L4" s="20">
        <v>12</v>
      </c>
      <c r="M4" s="20">
        <v>20</v>
      </c>
      <c r="N4" s="26">
        <v>50</v>
      </c>
      <c r="O4" s="26">
        <v>20</v>
      </c>
    </row>
    <row r="5" spans="1:15" ht="14.25" x14ac:dyDescent="0.2">
      <c r="A5" s="33" t="s">
        <v>17</v>
      </c>
      <c r="B5" s="27" t="s">
        <v>28</v>
      </c>
      <c r="C5" s="28">
        <v>7.5</v>
      </c>
      <c r="D5" s="29">
        <v>1.5</v>
      </c>
      <c r="E5" s="28">
        <v>1.1000000000000001</v>
      </c>
      <c r="F5" s="28">
        <v>8</v>
      </c>
      <c r="G5" s="29">
        <v>1</v>
      </c>
      <c r="H5" s="29"/>
      <c r="I5" s="28">
        <v>30</v>
      </c>
      <c r="J5" s="18">
        <f>$C5*($I5/100)</f>
        <v>2.25</v>
      </c>
      <c r="K5" s="26">
        <v>0</v>
      </c>
      <c r="L5" s="30">
        <v>20</v>
      </c>
      <c r="M5" s="30">
        <v>35</v>
      </c>
      <c r="N5" s="26">
        <v>50</v>
      </c>
      <c r="O5" s="26">
        <v>20</v>
      </c>
    </row>
    <row r="6" spans="1:15" ht="14.25" x14ac:dyDescent="0.2">
      <c r="A6" s="31" t="s">
        <v>18</v>
      </c>
      <c r="B6" s="17" t="s">
        <v>29</v>
      </c>
      <c r="C6" s="18">
        <v>100</v>
      </c>
      <c r="D6" s="32">
        <v>80</v>
      </c>
      <c r="E6" s="18">
        <v>26</v>
      </c>
      <c r="F6" s="18">
        <v>10</v>
      </c>
      <c r="G6" s="19">
        <v>5</v>
      </c>
      <c r="H6" s="19">
        <v>2</v>
      </c>
      <c r="I6" s="18">
        <v>80</v>
      </c>
      <c r="J6" s="18">
        <f>$C6*($I6/100)</f>
        <v>80</v>
      </c>
      <c r="K6" s="21">
        <v>2500</v>
      </c>
      <c r="L6" s="18">
        <v>0</v>
      </c>
      <c r="M6" s="18">
        <v>50</v>
      </c>
      <c r="N6" s="20">
        <v>50</v>
      </c>
      <c r="O6" s="20">
        <v>20</v>
      </c>
    </row>
    <row r="7" spans="1:15" ht="14.25" x14ac:dyDescent="0.2">
      <c r="A7" s="31" t="s">
        <v>19</v>
      </c>
      <c r="B7" s="31" t="s">
        <v>29</v>
      </c>
      <c r="C7" s="18">
        <v>150</v>
      </c>
      <c r="D7" s="19"/>
      <c r="E7" s="18">
        <v>3</v>
      </c>
      <c r="F7" s="18">
        <v>0.1</v>
      </c>
      <c r="G7" s="19">
        <v>22</v>
      </c>
      <c r="H7" s="19">
        <v>0.1</v>
      </c>
      <c r="I7" s="18">
        <v>80</v>
      </c>
      <c r="J7" s="18">
        <f t="shared" ref="J7:J8" si="0">$C7*($I7/100)</f>
        <v>120</v>
      </c>
      <c r="K7" s="21">
        <v>4620</v>
      </c>
      <c r="L7" s="18">
        <v>0</v>
      </c>
      <c r="M7" s="18">
        <v>50</v>
      </c>
      <c r="N7" s="20">
        <v>50</v>
      </c>
      <c r="O7" s="20">
        <v>20</v>
      </c>
    </row>
    <row r="8" spans="1:15" ht="14.25" x14ac:dyDescent="0.2">
      <c r="A8" s="31" t="s">
        <v>20</v>
      </c>
      <c r="B8" s="31" t="s">
        <v>29</v>
      </c>
      <c r="C8" s="18">
        <v>90</v>
      </c>
      <c r="D8" s="19"/>
      <c r="E8" s="18">
        <v>30</v>
      </c>
      <c r="F8" s="18">
        <v>5</v>
      </c>
      <c r="G8" s="19">
        <v>5</v>
      </c>
      <c r="H8" s="19"/>
      <c r="I8" s="18">
        <v>80</v>
      </c>
      <c r="J8" s="18">
        <f t="shared" si="0"/>
        <v>72</v>
      </c>
      <c r="K8" s="21"/>
      <c r="L8" s="18">
        <v>0</v>
      </c>
      <c r="M8" s="18">
        <v>50</v>
      </c>
      <c r="N8" s="20">
        <v>50</v>
      </c>
      <c r="O8" s="20">
        <v>20</v>
      </c>
    </row>
    <row r="9" spans="1:15" ht="14.25" x14ac:dyDescent="0.2">
      <c r="A9" s="31" t="s">
        <v>21</v>
      </c>
      <c r="B9" s="31" t="s">
        <v>29</v>
      </c>
      <c r="C9" s="22">
        <v>40</v>
      </c>
      <c r="D9" s="23"/>
      <c r="E9" s="22">
        <v>10</v>
      </c>
      <c r="F9" s="22">
        <v>20</v>
      </c>
      <c r="G9" s="23">
        <v>0.01</v>
      </c>
      <c r="H9" s="23">
        <v>0</v>
      </c>
      <c r="I9" s="22">
        <v>60</v>
      </c>
      <c r="J9" s="18">
        <f>$C9*($I9/100)</f>
        <v>24</v>
      </c>
      <c r="K9" s="24">
        <v>1550</v>
      </c>
      <c r="L9" s="18">
        <v>0</v>
      </c>
      <c r="M9" s="20">
        <v>50</v>
      </c>
      <c r="N9" s="20">
        <v>50</v>
      </c>
      <c r="O9" s="20">
        <v>20</v>
      </c>
    </row>
    <row r="10" spans="1:15" ht="14.25" x14ac:dyDescent="0.2">
      <c r="A10" s="31" t="s">
        <v>22</v>
      </c>
      <c r="B10" s="31" t="s">
        <v>29</v>
      </c>
      <c r="C10" s="18">
        <v>5</v>
      </c>
      <c r="D10" s="19"/>
      <c r="E10" s="18">
        <v>0.9</v>
      </c>
      <c r="F10" s="18">
        <v>3.5</v>
      </c>
      <c r="G10" s="19">
        <v>0.7</v>
      </c>
      <c r="H10" s="19">
        <v>1.35</v>
      </c>
      <c r="I10" s="18">
        <v>5</v>
      </c>
      <c r="J10" s="18">
        <f>$C10*($I10/100)</f>
        <v>0.25</v>
      </c>
      <c r="K10" s="24">
        <v>0</v>
      </c>
      <c r="L10" s="20">
        <v>0</v>
      </c>
      <c r="M10" s="20">
        <v>35</v>
      </c>
      <c r="N10" s="20">
        <v>50</v>
      </c>
      <c r="O10" s="20">
        <v>20</v>
      </c>
    </row>
    <row r="11" spans="1:15" ht="14.25" x14ac:dyDescent="0.2">
      <c r="A11" s="31" t="s">
        <v>23</v>
      </c>
      <c r="B11" s="31" t="s">
        <v>30</v>
      </c>
      <c r="C11" s="18">
        <v>0</v>
      </c>
      <c r="D11" s="19">
        <v>0</v>
      </c>
      <c r="E11" s="18"/>
      <c r="F11" s="18">
        <v>249</v>
      </c>
      <c r="G11" s="19">
        <v>170</v>
      </c>
      <c r="H11" s="19">
        <v>60</v>
      </c>
      <c r="I11" s="18">
        <v>0</v>
      </c>
      <c r="J11" s="18">
        <v>0</v>
      </c>
      <c r="K11" s="24">
        <v>3200</v>
      </c>
      <c r="L11" s="20">
        <v>0</v>
      </c>
      <c r="M11" s="20">
        <v>40</v>
      </c>
      <c r="N11" s="20">
        <v>0</v>
      </c>
      <c r="O11" s="20">
        <v>20</v>
      </c>
    </row>
    <row r="12" spans="1:15" ht="14.25" x14ac:dyDescent="0.2">
      <c r="A12" s="31" t="s">
        <v>24</v>
      </c>
      <c r="B12" s="31" t="s">
        <v>30</v>
      </c>
      <c r="C12" s="18">
        <v>0</v>
      </c>
      <c r="D12" s="19">
        <v>0</v>
      </c>
      <c r="E12" s="18"/>
      <c r="F12" s="18"/>
      <c r="G12" s="19">
        <v>200</v>
      </c>
      <c r="H12" s="19">
        <v>151</v>
      </c>
      <c r="I12" s="18">
        <v>0</v>
      </c>
      <c r="J12" s="18">
        <v>0</v>
      </c>
      <c r="K12" s="24">
        <v>2200</v>
      </c>
      <c r="L12" s="20">
        <v>0</v>
      </c>
      <c r="M12" s="20">
        <v>40</v>
      </c>
      <c r="N12" s="20">
        <v>0</v>
      </c>
      <c r="O12" s="20">
        <v>20</v>
      </c>
    </row>
    <row r="13" spans="1:15" ht="14.25" x14ac:dyDescent="0.2">
      <c r="A13" s="31" t="s">
        <v>25</v>
      </c>
      <c r="B13" s="31" t="s">
        <v>30</v>
      </c>
      <c r="C13" s="18">
        <v>0</v>
      </c>
      <c r="D13" s="19">
        <v>0</v>
      </c>
      <c r="E13" s="18"/>
      <c r="F13" s="18">
        <v>9.1</v>
      </c>
      <c r="G13" s="19">
        <v>24</v>
      </c>
      <c r="H13" s="19"/>
      <c r="I13" s="18">
        <v>0</v>
      </c>
      <c r="J13" s="18">
        <v>0</v>
      </c>
      <c r="K13" s="24">
        <v>100</v>
      </c>
      <c r="L13" s="20">
        <v>0</v>
      </c>
      <c r="M13" s="20">
        <v>85</v>
      </c>
      <c r="N13" s="20">
        <v>0</v>
      </c>
      <c r="O13" s="20">
        <v>20</v>
      </c>
    </row>
    <row r="14" spans="1:15" ht="14.25" x14ac:dyDescent="0.2">
      <c r="A14" s="31" t="s">
        <v>26</v>
      </c>
      <c r="B14" s="31" t="s">
        <v>30</v>
      </c>
      <c r="C14" s="18">
        <v>0</v>
      </c>
      <c r="D14" s="19">
        <v>0</v>
      </c>
      <c r="E14" s="18"/>
      <c r="F14" s="18"/>
      <c r="G14" s="19">
        <v>200</v>
      </c>
      <c r="H14" s="19"/>
      <c r="I14" s="18">
        <v>0</v>
      </c>
      <c r="J14" s="18">
        <v>0</v>
      </c>
      <c r="K14" s="24">
        <v>1050</v>
      </c>
      <c r="L14" s="20">
        <v>0</v>
      </c>
      <c r="M14" s="20">
        <v>40</v>
      </c>
      <c r="N14" s="20">
        <v>0</v>
      </c>
      <c r="O14" s="20">
        <v>20</v>
      </c>
    </row>
    <row r="15" spans="1:15" ht="14.25" x14ac:dyDescent="0.2">
      <c r="A15" s="31" t="s">
        <v>27</v>
      </c>
      <c r="B15" s="31" t="s">
        <v>30</v>
      </c>
      <c r="C15" s="18">
        <v>0</v>
      </c>
      <c r="D15" s="19">
        <v>0</v>
      </c>
      <c r="E15" s="18"/>
      <c r="F15" s="18"/>
      <c r="G15" s="19">
        <v>900</v>
      </c>
      <c r="H15" s="19"/>
      <c r="I15" s="18">
        <v>0</v>
      </c>
      <c r="J15" s="18">
        <v>0</v>
      </c>
      <c r="K15" s="24">
        <v>10500</v>
      </c>
      <c r="L15" s="20">
        <v>0</v>
      </c>
      <c r="M15" s="20">
        <v>40</v>
      </c>
      <c r="N15" s="20">
        <v>0</v>
      </c>
      <c r="O15" s="20">
        <v>20</v>
      </c>
    </row>
    <row r="89" spans="1:15" ht="42.75" x14ac:dyDescent="0.2">
      <c r="A89" s="1"/>
      <c r="B89" s="11"/>
      <c r="C89" s="2" t="s">
        <v>0</v>
      </c>
      <c r="D89" s="3"/>
      <c r="E89" s="3"/>
      <c r="F89" s="3"/>
      <c r="G89" s="3"/>
      <c r="H89" s="4"/>
      <c r="I89" s="5" t="s">
        <v>1</v>
      </c>
      <c r="J89" s="34" t="s">
        <v>44</v>
      </c>
      <c r="K89" s="6" t="s">
        <v>2</v>
      </c>
      <c r="L89" s="7" t="s">
        <v>3</v>
      </c>
      <c r="M89" s="6" t="s">
        <v>4</v>
      </c>
      <c r="N89" s="82" t="s">
        <v>43</v>
      </c>
      <c r="O89" s="82" t="s">
        <v>46</v>
      </c>
    </row>
    <row r="90" spans="1:15" ht="28.5" x14ac:dyDescent="0.35">
      <c r="A90" s="8"/>
      <c r="B90" s="12"/>
      <c r="C90" s="6" t="s">
        <v>5</v>
      </c>
      <c r="D90" s="6" t="s">
        <v>6</v>
      </c>
      <c r="E90" s="6" t="s">
        <v>7</v>
      </c>
      <c r="F90" s="6" t="s">
        <v>8</v>
      </c>
      <c r="G90" s="6" t="s">
        <v>9</v>
      </c>
      <c r="H90" s="6" t="s">
        <v>10</v>
      </c>
      <c r="I90" s="9" t="s">
        <v>11</v>
      </c>
      <c r="J90" s="9" t="s">
        <v>11</v>
      </c>
      <c r="K90" s="10" t="s">
        <v>12</v>
      </c>
      <c r="L90" s="10" t="s">
        <v>13</v>
      </c>
      <c r="M90" s="10" t="s">
        <v>14</v>
      </c>
      <c r="N90" s="82"/>
      <c r="O90" s="82"/>
    </row>
    <row r="91" spans="1:15" ht="14.25" x14ac:dyDescent="0.2">
      <c r="A91" s="13"/>
      <c r="B91" s="13" t="s">
        <v>28</v>
      </c>
      <c r="C91" s="14">
        <v>4.4000000000000004</v>
      </c>
      <c r="D91" s="15">
        <v>2.6</v>
      </c>
      <c r="E91" s="14">
        <v>0.7</v>
      </c>
      <c r="F91" s="14">
        <v>3.2</v>
      </c>
      <c r="G91" s="15">
        <v>0.5</v>
      </c>
      <c r="H91" s="15"/>
      <c r="I91" s="14">
        <v>60</v>
      </c>
      <c r="J91" s="18">
        <f>$C91*($I91/100)</f>
        <v>2.64</v>
      </c>
      <c r="K91" s="16"/>
      <c r="L91" s="16">
        <v>12</v>
      </c>
      <c r="M91" s="16">
        <v>20</v>
      </c>
      <c r="N91" s="26">
        <v>50</v>
      </c>
      <c r="O91" s="26">
        <v>20</v>
      </c>
    </row>
    <row r="92" spans="1:15" ht="14.25" x14ac:dyDescent="0.2">
      <c r="A92" s="17"/>
      <c r="B92" s="17" t="s">
        <v>28</v>
      </c>
      <c r="C92" s="18">
        <v>4.5</v>
      </c>
      <c r="D92" s="19">
        <v>3.4</v>
      </c>
      <c r="E92" s="18">
        <v>1.2</v>
      </c>
      <c r="F92" s="18">
        <v>2.6</v>
      </c>
      <c r="G92" s="19">
        <v>0.4</v>
      </c>
      <c r="H92" s="19"/>
      <c r="I92" s="18">
        <v>70</v>
      </c>
      <c r="J92" s="18">
        <f>$C92*($I92/100)</f>
        <v>3.15</v>
      </c>
      <c r="K92" s="16"/>
      <c r="L92" s="20">
        <v>12</v>
      </c>
      <c r="M92" s="20">
        <v>20</v>
      </c>
      <c r="N92" s="26">
        <v>50</v>
      </c>
      <c r="O92" s="26">
        <v>20</v>
      </c>
    </row>
    <row r="93" spans="1:15" ht="14.25" x14ac:dyDescent="0.2">
      <c r="A93" s="33"/>
      <c r="B93" s="27" t="s">
        <v>28</v>
      </c>
      <c r="C93" s="28">
        <v>7.5</v>
      </c>
      <c r="D93" s="29">
        <v>1.5</v>
      </c>
      <c r="E93" s="28">
        <v>1.1000000000000001</v>
      </c>
      <c r="F93" s="28">
        <v>8</v>
      </c>
      <c r="G93" s="29">
        <v>1</v>
      </c>
      <c r="H93" s="29"/>
      <c r="I93" s="28">
        <v>30</v>
      </c>
      <c r="J93" s="18">
        <f>$C93*($I93/100)</f>
        <v>2.25</v>
      </c>
      <c r="K93" s="26"/>
      <c r="L93" s="30">
        <v>20</v>
      </c>
      <c r="M93" s="30">
        <v>35</v>
      </c>
      <c r="N93" s="26">
        <v>50</v>
      </c>
      <c r="O93" s="26">
        <v>20</v>
      </c>
    </row>
    <row r="94" spans="1:15" ht="14.25" x14ac:dyDescent="0.2">
      <c r="A94" s="31" t="s">
        <v>18</v>
      </c>
      <c r="B94" s="17" t="s">
        <v>29</v>
      </c>
      <c r="C94" s="18">
        <v>100</v>
      </c>
      <c r="D94" s="32">
        <v>80</v>
      </c>
      <c r="E94" s="18">
        <v>26</v>
      </c>
      <c r="F94" s="18">
        <v>10</v>
      </c>
      <c r="G94" s="19">
        <v>5</v>
      </c>
      <c r="H94" s="19">
        <v>2</v>
      </c>
      <c r="I94" s="18">
        <v>80</v>
      </c>
      <c r="J94" s="18">
        <f>$C94*($I94/100)</f>
        <v>80</v>
      </c>
      <c r="K94" s="21">
        <v>2500</v>
      </c>
      <c r="L94" s="18">
        <v>0</v>
      </c>
      <c r="M94" s="18">
        <v>50</v>
      </c>
      <c r="N94" s="20">
        <v>50</v>
      </c>
      <c r="O94" s="20">
        <v>20</v>
      </c>
    </row>
    <row r="95" spans="1:15" ht="14.25" x14ac:dyDescent="0.2">
      <c r="A95" s="31" t="s">
        <v>19</v>
      </c>
      <c r="B95" s="31" t="s">
        <v>29</v>
      </c>
      <c r="C95" s="18">
        <v>150</v>
      </c>
      <c r="D95" s="19"/>
      <c r="E95" s="18">
        <v>3</v>
      </c>
      <c r="F95" s="18">
        <v>0.1</v>
      </c>
      <c r="G95" s="19">
        <v>22</v>
      </c>
      <c r="H95" s="19">
        <v>0.1</v>
      </c>
      <c r="I95" s="18">
        <v>80</v>
      </c>
      <c r="J95" s="18">
        <f t="shared" ref="J95:J96" si="1">$C95*($I95/100)</f>
        <v>120</v>
      </c>
      <c r="K95" s="21">
        <v>4620</v>
      </c>
      <c r="L95" s="18">
        <v>0</v>
      </c>
      <c r="M95" s="18">
        <v>50</v>
      </c>
      <c r="N95" s="20">
        <v>50</v>
      </c>
      <c r="O95" s="20">
        <v>20</v>
      </c>
    </row>
    <row r="96" spans="1:15" ht="14.25" x14ac:dyDescent="0.2">
      <c r="A96" s="31" t="s">
        <v>20</v>
      </c>
      <c r="B96" s="31" t="s">
        <v>29</v>
      </c>
      <c r="C96" s="18">
        <v>90</v>
      </c>
      <c r="D96" s="19"/>
      <c r="E96" s="18">
        <v>30</v>
      </c>
      <c r="F96" s="18">
        <v>5</v>
      </c>
      <c r="G96" s="19">
        <v>5</v>
      </c>
      <c r="H96" s="19"/>
      <c r="I96" s="18">
        <v>80</v>
      </c>
      <c r="J96" s="18">
        <f t="shared" si="1"/>
        <v>72</v>
      </c>
      <c r="K96" s="21"/>
      <c r="L96" s="18">
        <v>0</v>
      </c>
      <c r="M96" s="18">
        <v>50</v>
      </c>
      <c r="N96" s="20">
        <v>50</v>
      </c>
      <c r="O96" s="20">
        <v>20</v>
      </c>
    </row>
    <row r="97" spans="1:15" ht="14.25" x14ac:dyDescent="0.2">
      <c r="A97" s="31" t="s">
        <v>23</v>
      </c>
      <c r="B97" s="31" t="s">
        <v>30</v>
      </c>
      <c r="C97" s="18">
        <v>0</v>
      </c>
      <c r="D97" s="19">
        <v>0</v>
      </c>
      <c r="E97" s="18"/>
      <c r="F97" s="18">
        <v>249</v>
      </c>
      <c r="G97" s="19">
        <v>170</v>
      </c>
      <c r="H97" s="19">
        <v>60</v>
      </c>
      <c r="I97" s="18">
        <v>0</v>
      </c>
      <c r="J97" s="18">
        <v>0</v>
      </c>
      <c r="K97" s="24">
        <v>3200</v>
      </c>
      <c r="L97" s="20">
        <v>0</v>
      </c>
      <c r="M97" s="20">
        <v>40</v>
      </c>
      <c r="N97" s="20">
        <v>0</v>
      </c>
      <c r="O97" s="20">
        <v>20</v>
      </c>
    </row>
    <row r="98" spans="1:15" ht="14.25" x14ac:dyDescent="0.2">
      <c r="A98" s="31" t="s">
        <v>24</v>
      </c>
      <c r="B98" s="31" t="s">
        <v>30</v>
      </c>
      <c r="C98" s="18">
        <v>0</v>
      </c>
      <c r="D98" s="19">
        <v>0</v>
      </c>
      <c r="E98" s="18"/>
      <c r="F98" s="18"/>
      <c r="G98" s="19">
        <v>200</v>
      </c>
      <c r="H98" s="19">
        <v>151</v>
      </c>
      <c r="I98" s="18">
        <v>0</v>
      </c>
      <c r="J98" s="18">
        <v>0</v>
      </c>
      <c r="K98" s="24">
        <v>2200</v>
      </c>
      <c r="L98" s="20">
        <v>0</v>
      </c>
      <c r="M98" s="20">
        <v>40</v>
      </c>
      <c r="N98" s="20">
        <v>0</v>
      </c>
      <c r="O98" s="20">
        <v>20</v>
      </c>
    </row>
    <row r="99" spans="1:15" ht="14.25" x14ac:dyDescent="0.2">
      <c r="A99" s="31" t="s">
        <v>25</v>
      </c>
      <c r="B99" s="31" t="s">
        <v>30</v>
      </c>
      <c r="C99" s="18">
        <v>0</v>
      </c>
      <c r="D99" s="19">
        <v>0</v>
      </c>
      <c r="E99" s="18"/>
      <c r="F99" s="18">
        <v>9.1</v>
      </c>
      <c r="G99" s="19">
        <v>24</v>
      </c>
      <c r="H99" s="19"/>
      <c r="I99" s="18">
        <v>0</v>
      </c>
      <c r="J99" s="18">
        <v>0</v>
      </c>
      <c r="K99" s="24"/>
      <c r="L99" s="20">
        <v>0</v>
      </c>
      <c r="M99" s="20">
        <v>85</v>
      </c>
      <c r="N99" s="20">
        <v>0</v>
      </c>
      <c r="O99" s="20">
        <v>20</v>
      </c>
    </row>
    <row r="100" spans="1:15" ht="14.25" x14ac:dyDescent="0.2">
      <c r="A100" s="31" t="s">
        <v>26</v>
      </c>
      <c r="B100" s="31" t="s">
        <v>30</v>
      </c>
      <c r="C100" s="18">
        <v>0</v>
      </c>
      <c r="D100" s="19">
        <v>0</v>
      </c>
      <c r="E100" s="18"/>
      <c r="F100" s="18"/>
      <c r="G100" s="19">
        <v>200</v>
      </c>
      <c r="H100" s="19"/>
      <c r="I100" s="18">
        <v>0</v>
      </c>
      <c r="J100" s="18">
        <v>0</v>
      </c>
      <c r="K100" s="24">
        <v>1050</v>
      </c>
      <c r="L100" s="20">
        <v>0</v>
      </c>
      <c r="M100" s="20">
        <v>40</v>
      </c>
      <c r="N100" s="20">
        <v>0</v>
      </c>
      <c r="O100" s="20">
        <v>20</v>
      </c>
    </row>
    <row r="101" spans="1:15" ht="14.25" x14ac:dyDescent="0.2">
      <c r="A101" s="31" t="s">
        <v>27</v>
      </c>
      <c r="B101" s="31" t="s">
        <v>30</v>
      </c>
      <c r="C101" s="18">
        <v>0</v>
      </c>
      <c r="D101" s="19">
        <v>0</v>
      </c>
      <c r="E101" s="18"/>
      <c r="F101" s="18"/>
      <c r="G101" s="19">
        <v>900</v>
      </c>
      <c r="H101" s="19"/>
      <c r="I101" s="18">
        <v>0</v>
      </c>
      <c r="J101" s="18">
        <v>0</v>
      </c>
      <c r="K101" s="24">
        <v>10500</v>
      </c>
      <c r="L101" s="20">
        <v>0</v>
      </c>
      <c r="M101" s="20">
        <v>40</v>
      </c>
      <c r="N101" s="20">
        <v>0</v>
      </c>
      <c r="O101" s="20">
        <v>20</v>
      </c>
    </row>
  </sheetData>
  <mergeCells count="4">
    <mergeCell ref="N1:N2"/>
    <mergeCell ref="O1:O2"/>
    <mergeCell ref="N89:N90"/>
    <mergeCell ref="O89:O9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Beregner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Sidsel Birkelund Schmidt</dc:creator>
  <cp:lastModifiedBy>Linda Michelle Handrup</cp:lastModifiedBy>
  <dcterms:created xsi:type="dcterms:W3CDTF">2023-12-10T19:29:17Z</dcterms:created>
  <dcterms:modified xsi:type="dcterms:W3CDTF">2023-12-21T11:27:56Z</dcterms:modified>
</cp:coreProperties>
</file>